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0" yWindow="0" windowWidth="12375" windowHeight="12735" activeTab="0"/>
  </bookViews>
  <sheets>
    <sheet name="Consolidated" sheetId="1" r:id="rId1"/>
    <sheet name="Boulder" sheetId="2" r:id="rId2"/>
    <sheet name="UCCS" sheetId="3" r:id="rId3"/>
    <sheet name="Denver" sheetId="4" r:id="rId4"/>
    <sheet name="Anschutz" sheetId="5" r:id="rId5"/>
  </sheets>
  <definedNames>
    <definedName name="_xlnm.Print_Area" localSheetId="1">'Boulder'!$A$1:$G$71</definedName>
    <definedName name="_xlnm.Print_Area" localSheetId="0">'Consolidated'!$A$1:$G$58</definedName>
    <definedName name="_xlnm.Print_Area" localSheetId="2">'UCCS'!$A$1:$G$60</definedName>
  </definedNames>
  <calcPr fullCalcOnLoad="1"/>
</workbook>
</file>

<file path=xl/comments3.xml><?xml version="1.0" encoding="utf-8"?>
<comments xmlns="http://schemas.openxmlformats.org/spreadsheetml/2006/main">
  <authors>
    <author>IT</author>
  </authors>
  <commentList>
    <comment ref="C29" authorId="0">
      <text>
        <r>
          <rPr>
            <b/>
            <sz val="9"/>
            <rFont val="Tahoma"/>
            <family val="2"/>
          </rPr>
          <t>SS: includes misc, id revenues; transfers in netted with t-outs as an expense</t>
        </r>
      </text>
    </comment>
  </commentList>
</comments>
</file>

<file path=xl/sharedStrings.xml><?xml version="1.0" encoding="utf-8"?>
<sst xmlns="http://schemas.openxmlformats.org/spreadsheetml/2006/main" count="320" uniqueCount="75">
  <si>
    <t>University of Colorado</t>
  </si>
  <si>
    <t>Denver Campus</t>
  </si>
  <si>
    <t>Description</t>
  </si>
  <si>
    <t>FY 2014-15</t>
  </si>
  <si>
    <t>FY 2015-16</t>
  </si>
  <si>
    <t xml:space="preserve">Original Total Current Funds </t>
  </si>
  <si>
    <t xml:space="preserve">June Estimate Total Current Funds </t>
  </si>
  <si>
    <t>Education &amp; General Fund</t>
  </si>
  <si>
    <t>Auxiliary &amp; 
Self-Funded Activities</t>
  </si>
  <si>
    <t>Restricted Fund</t>
  </si>
  <si>
    <t>Total Current Funds Budget</t>
  </si>
  <si>
    <t>Revenues</t>
  </si>
  <si>
    <t>Student Tuition and Fees</t>
  </si>
  <si>
    <t>Resident Tuition - COF</t>
  </si>
  <si>
    <t>Resident Tuition - Student Share</t>
  </si>
  <si>
    <t>Non-Resident Tuition</t>
  </si>
  <si>
    <t>Other tuition - Continuing Education</t>
  </si>
  <si>
    <t>Student fees</t>
  </si>
  <si>
    <t>Subtotal - Student Tuition and Fees</t>
  </si>
  <si>
    <t>Investment and Interest Income</t>
  </si>
  <si>
    <t>Grants and Contracts</t>
  </si>
  <si>
    <t>Federal Grants &amp; Contracts</t>
  </si>
  <si>
    <t>State and Local Grants &amp; Contracts</t>
  </si>
  <si>
    <t>Tobacco Funding</t>
  </si>
  <si>
    <t>Fee for Service Contract</t>
  </si>
  <si>
    <t>Subtotal - Grants &amp; Contracts</t>
  </si>
  <si>
    <t>Private/other gifts, grants and contracts</t>
  </si>
  <si>
    <t>Sales &amp; Services of educational departments</t>
  </si>
  <si>
    <t>Auxiliary Operating Revenues</t>
  </si>
  <si>
    <t>Health Services</t>
  </si>
  <si>
    <t>Other Revenues:</t>
  </si>
  <si>
    <t>Indirect Cost Reimbursement</t>
  </si>
  <si>
    <t>Denver AHEC Library Funding</t>
  </si>
  <si>
    <t>Other Sources</t>
  </si>
  <si>
    <t>TOTAL REVENUES</t>
  </si>
  <si>
    <t>Expenditures</t>
  </si>
  <si>
    <t>Educational &amp; General: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</si>
  <si>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</si>
  <si>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</si>
  <si>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</si>
  <si>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</si>
  <si>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</si>
  <si>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</si>
  <si>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Operations of Plant</t>
  </si>
  <si>
    <t>Scholarships &amp; Fellowships</t>
  </si>
  <si>
    <t>Auxiliary operating expenditures</t>
  </si>
  <si>
    <t>Other</t>
  </si>
  <si>
    <t>TOTAL EXPENDITURES</t>
  </si>
  <si>
    <t>Transfers Between Funds</t>
  </si>
  <si>
    <t>Mandatory Transfers</t>
  </si>
  <si>
    <t>Principal and interest</t>
  </si>
  <si>
    <t>Renewals &amp; replacements</t>
  </si>
  <si>
    <t>Matching funds/Other</t>
  </si>
  <si>
    <t>Subtotal -- Mandatory Transfers</t>
  </si>
  <si>
    <t>Voluntary Transfers &amp; Other</t>
  </si>
  <si>
    <t>Restricted receipts to be expended in future years</t>
  </si>
  <si>
    <t>Other/Carryforwards</t>
  </si>
  <si>
    <t>Subtotal Voluntary Transfers</t>
  </si>
  <si>
    <t>TOTAL EXPENDITURES &amp; TRANSFERS</t>
  </si>
  <si>
    <t>Net Increase (Decrease) in Fund Balances</t>
  </si>
  <si>
    <t>Anschutz Medical Campus</t>
  </si>
  <si>
    <t>Colorado Springs Campus</t>
  </si>
  <si>
    <t>Boulder Campus</t>
  </si>
  <si>
    <t>Notes:</t>
  </si>
  <si>
    <t xml:space="preserve">    1) This schedule does not include revenue or expenses associated with the Direct Lending Program.   Direct Lending is reported outside of the current funds.</t>
  </si>
  <si>
    <t xml:space="preserve">     For FY2015, the Direct Lending amount is estimated to be $132M and $133M in FY2016.  Pell and Work Study financial aid are in the Restricted Fund.</t>
  </si>
  <si>
    <t>2) Restricted fund revenues exclude funding for research capital projects and indirect cost recoveries, the latter estimated to be $83M in FY2015 and $86M in FY2016.</t>
  </si>
  <si>
    <t>3) Internal service revenue/expense activity is excluded from this schedule.</t>
  </si>
  <si>
    <t xml:space="preserve">4) All Auxiliary tuition for Continuing Education is classified as "Other Tuition" on this schedule. </t>
  </si>
  <si>
    <t>5) Scholarship allowance, fixed assets and other GASB-related adjustments are not included in the above figures.</t>
  </si>
  <si>
    <t>6) The financial aid budget in the General Fund, including Esteemed Scholars, is estimated to be $62M in FY2015 and $68M in FY2016. Actual financial aid activity occurs in multiple expenditure categories.</t>
  </si>
  <si>
    <t xml:space="preserve">    7) Activity budgeted in expense purpose codes occasionally may be expensed in other expense purpose codes.</t>
  </si>
  <si>
    <t>8) Advancement activities of $11M are reflected in the restricted fund Institutional Support for FY2015 and FY2016.</t>
  </si>
  <si>
    <t>CU Consolidated</t>
  </si>
  <si>
    <t>FY 2015-16 Current Funds Budget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</si>
</sst>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[Red]\([$$-409]#,##0\)"/>
    <numFmt numFmtId="165" formatCode="0.0%"/>
    <numFmt numFmtId="166" formatCode="[$$-409]#,##0"/>
  </numFmts>
  <fonts count="60">
    <font>
      <sz val="11"/>
      <color theme="1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sz val="8.5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medium"/>
      <top/>
      <bottom style="double"/>
    </border>
    <border>
      <left style="medium"/>
      <right/>
      <top style="double"/>
      <bottom style="thin"/>
    </border>
    <border>
      <left style="medium"/>
      <right style="medium"/>
      <top style="double"/>
      <bottom style="thin"/>
    </border>
    <border>
      <left/>
      <right/>
      <top/>
      <bottom style="thin"/>
    </border>
    <border>
      <left/>
      <right/>
      <top style="double"/>
      <bottom style="thin"/>
    </border>
    <border>
      <left style="medium"/>
      <right style="medium"/>
      <top/>
      <bottom style="thin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 style="medium"/>
      <top/>
      <bottom style="double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 style="medium"/>
      <bottom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2" fillId="3" borderId="0" applyNumberFormat="0" applyBorder="0" applyAlignment="0" applyProtection="0"/>
    <xf numFmtId="0" fontId="42" fillId="4" borderId="0" applyNumberFormat="0" applyBorder="0" applyAlignment="0" applyProtection="0"/>
    <xf numFmtId="0" fontId="2" fillId="5" borderId="0" applyNumberFormat="0" applyBorder="0" applyAlignment="0" applyProtection="0"/>
    <xf numFmtId="0" fontId="42" fillId="6" borderId="0" applyNumberFormat="0" applyBorder="0" applyAlignment="0" applyProtection="0"/>
    <xf numFmtId="0" fontId="2" fillId="7" borderId="0" applyNumberFormat="0" applyBorder="0" applyAlignment="0" applyProtection="0"/>
    <xf numFmtId="0" fontId="42" fillId="8" borderId="0" applyNumberFormat="0" applyBorder="0" applyAlignment="0" applyProtection="0"/>
    <xf numFmtId="0" fontId="2" fillId="9" borderId="0" applyNumberFormat="0" applyBorder="0" applyAlignment="0" applyProtection="0"/>
    <xf numFmtId="0" fontId="42" fillId="10" borderId="0" applyNumberFormat="0" applyBorder="0" applyAlignment="0" applyProtection="0"/>
    <xf numFmtId="0" fontId="2" fillId="11" borderId="0" applyNumberFormat="0" applyBorder="0" applyAlignment="0" applyProtection="0"/>
    <xf numFmtId="0" fontId="42" fillId="12" borderId="0" applyNumberFormat="0" applyBorder="0" applyAlignment="0" applyProtection="0"/>
    <xf numFmtId="0" fontId="2" fillId="13" borderId="0" applyNumberFormat="0" applyBorder="0" applyAlignment="0" applyProtection="0"/>
    <xf numFmtId="0" fontId="42" fillId="14" borderId="0" applyNumberFormat="0" applyBorder="0" applyAlignment="0" applyProtection="0"/>
    <xf numFmtId="0" fontId="2" fillId="15" borderId="0" applyNumberFormat="0" applyBorder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42" fillId="18" borderId="0" applyNumberFormat="0" applyBorder="0" applyAlignment="0" applyProtection="0"/>
    <xf numFmtId="0" fontId="2" fillId="19" borderId="0" applyNumberFormat="0" applyBorder="0" applyAlignment="0" applyProtection="0"/>
    <xf numFmtId="0" fontId="42" fillId="20" borderId="0" applyNumberFormat="0" applyBorder="0" applyAlignment="0" applyProtection="0"/>
    <xf numFmtId="0" fontId="2" fillId="9" borderId="0" applyNumberFormat="0" applyBorder="0" applyAlignment="0" applyProtection="0"/>
    <xf numFmtId="0" fontId="42" fillId="21" borderId="0" applyNumberFormat="0" applyBorder="0" applyAlignment="0" applyProtection="0"/>
    <xf numFmtId="0" fontId="2" fillId="15" borderId="0" applyNumberFormat="0" applyBorder="0" applyAlignment="0" applyProtection="0"/>
    <xf numFmtId="0" fontId="42" fillId="22" borderId="0" applyNumberFormat="0" applyBorder="0" applyAlignment="0" applyProtection="0"/>
    <xf numFmtId="0" fontId="2" fillId="23" borderId="0" applyNumberFormat="0" applyBorder="0" applyAlignment="0" applyProtection="0"/>
    <xf numFmtId="0" fontId="43" fillId="24" borderId="0" applyNumberFormat="0" applyBorder="0" applyAlignment="0" applyProtection="0"/>
    <xf numFmtId="0" fontId="11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17" borderId="0" applyNumberFormat="0" applyBorder="0" applyAlignment="0" applyProtection="0"/>
    <xf numFmtId="0" fontId="43" fillId="27" borderId="0" applyNumberFormat="0" applyBorder="0" applyAlignment="0" applyProtection="0"/>
    <xf numFmtId="0" fontId="11" fillId="19" borderId="0" applyNumberFormat="0" applyBorder="0" applyAlignment="0" applyProtection="0"/>
    <xf numFmtId="0" fontId="43" fillId="28" borderId="0" applyNumberFormat="0" applyBorder="0" applyAlignment="0" applyProtection="0"/>
    <xf numFmtId="0" fontId="11" fillId="29" borderId="0" applyNumberFormat="0" applyBorder="0" applyAlignment="0" applyProtection="0"/>
    <xf numFmtId="0" fontId="43" fillId="30" borderId="0" applyNumberFormat="0" applyBorder="0" applyAlignment="0" applyProtection="0"/>
    <xf numFmtId="0" fontId="11" fillId="31" borderId="0" applyNumberFormat="0" applyBorder="0" applyAlignment="0" applyProtection="0"/>
    <xf numFmtId="0" fontId="43" fillId="32" borderId="0" applyNumberFormat="0" applyBorder="0" applyAlignment="0" applyProtection="0"/>
    <xf numFmtId="0" fontId="11" fillId="33" borderId="0" applyNumberFormat="0" applyBorder="0" applyAlignment="0" applyProtection="0"/>
    <xf numFmtId="0" fontId="43" fillId="34" borderId="0" applyNumberFormat="0" applyBorder="0" applyAlignment="0" applyProtection="0"/>
    <xf numFmtId="0" fontId="11" fillId="35" borderId="0" applyNumberFormat="0" applyBorder="0" applyAlignment="0" applyProtection="0"/>
    <xf numFmtId="0" fontId="43" fillId="36" borderId="0" applyNumberFormat="0" applyBorder="0" applyAlignment="0" applyProtection="0"/>
    <xf numFmtId="0" fontId="11" fillId="37" borderId="0" applyNumberFormat="0" applyBorder="0" applyAlignment="0" applyProtection="0"/>
    <xf numFmtId="0" fontId="43" fillId="38" borderId="0" applyNumberFormat="0" applyBorder="0" applyAlignment="0" applyProtection="0"/>
    <xf numFmtId="0" fontId="11" fillId="39" borderId="0" applyNumberFormat="0" applyBorder="0" applyAlignment="0" applyProtection="0"/>
    <xf numFmtId="0" fontId="43" fillId="40" borderId="0" applyNumberFormat="0" applyBorder="0" applyAlignment="0" applyProtection="0"/>
    <xf numFmtId="0" fontId="11" fillId="29" borderId="0" applyNumberFormat="0" applyBorder="0" applyAlignment="0" applyProtection="0"/>
    <xf numFmtId="0" fontId="43" fillId="41" borderId="0" applyNumberFormat="0" applyBorder="0" applyAlignment="0" applyProtection="0"/>
    <xf numFmtId="0" fontId="11" fillId="31" borderId="0" applyNumberFormat="0" applyBorder="0" applyAlignment="0" applyProtection="0"/>
    <xf numFmtId="0" fontId="43" fillId="42" borderId="0" applyNumberFormat="0" applyBorder="0" applyAlignment="0" applyProtection="0"/>
    <xf numFmtId="0" fontId="11" fillId="43" borderId="0" applyNumberFormat="0" applyBorder="0" applyAlignment="0" applyProtection="0"/>
    <xf numFmtId="0" fontId="44" fillId="44" borderId="0" applyNumberFormat="0" applyBorder="0" applyAlignment="0" applyProtection="0"/>
    <xf numFmtId="0" fontId="12" fillId="5" borderId="0" applyNumberFormat="0" applyBorder="0" applyAlignment="0" applyProtection="0"/>
    <xf numFmtId="0" fontId="45" fillId="45" borderId="1" applyNumberFormat="0" applyAlignment="0" applyProtection="0"/>
    <xf numFmtId="0" fontId="13" fillId="46" borderId="2" applyNumberFormat="0" applyAlignment="0" applyProtection="0"/>
    <xf numFmtId="0" fontId="46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6" fillId="7" borderId="0" applyNumberFormat="0" applyBorder="0" applyAlignment="0" applyProtection="0"/>
    <xf numFmtId="0" fontId="49" fillId="0" borderId="5" applyNumberFormat="0" applyFill="0" applyAlignment="0" applyProtection="0"/>
    <xf numFmtId="0" fontId="17" fillId="0" borderId="6" applyNumberFormat="0" applyFill="0" applyAlignment="0" applyProtection="0"/>
    <xf numFmtId="0" fontId="50" fillId="0" borderId="7" applyNumberFormat="0" applyFill="0" applyAlignment="0" applyProtection="0"/>
    <xf numFmtId="0" fontId="18" fillId="0" borderId="8" applyNumberFormat="0" applyFill="0" applyAlignment="0" applyProtection="0"/>
    <xf numFmtId="0" fontId="51" fillId="0" borderId="9" applyNumberFormat="0" applyFill="0" applyAlignment="0" applyProtection="0"/>
    <xf numFmtId="0" fontId="19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50" borderId="1" applyNumberFormat="0" applyAlignment="0" applyProtection="0"/>
    <xf numFmtId="0" fontId="20" fillId="13" borderId="2" applyNumberFormat="0" applyAlignment="0" applyProtection="0"/>
    <xf numFmtId="0" fontId="53" fillId="0" borderId="11" applyNumberFormat="0" applyFill="0" applyAlignment="0" applyProtection="0"/>
    <xf numFmtId="0" fontId="21" fillId="0" borderId="12" applyNumberFormat="0" applyFill="0" applyAlignment="0" applyProtection="0"/>
    <xf numFmtId="0" fontId="54" fillId="51" borderId="0" applyNumberFormat="0" applyBorder="0" applyAlignment="0" applyProtection="0"/>
    <xf numFmtId="0" fontId="22" fillId="5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53" borderId="13" applyNumberFormat="0" applyFont="0" applyAlignment="0" applyProtection="0"/>
    <xf numFmtId="0" fontId="10" fillId="54" borderId="14" applyNumberFormat="0" applyFont="0" applyAlignment="0" applyProtection="0"/>
    <xf numFmtId="0" fontId="55" fillId="45" borderId="15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5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164" fontId="3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3" fillId="55" borderId="19" xfId="0" applyNumberFormat="1" applyFont="1" applyFill="1" applyBorder="1" applyAlignment="1">
      <alignment horizontal="center" wrapText="1"/>
    </xf>
    <xf numFmtId="164" fontId="3" fillId="55" borderId="20" xfId="0" applyNumberFormat="1" applyFont="1" applyFill="1" applyBorder="1" applyAlignment="1">
      <alignment horizontal="center" wrapText="1"/>
    </xf>
    <xf numFmtId="164" fontId="3" fillId="55" borderId="21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4" fillId="0" borderId="23" xfId="0" applyNumberFormat="1" applyFont="1" applyBorder="1" applyAlignment="1">
      <alignment wrapText="1"/>
    </xf>
    <xf numFmtId="164" fontId="4" fillId="0" borderId="22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24" xfId="0" applyNumberFormat="1" applyFont="1" applyBorder="1" applyAlignment="1">
      <alignment wrapText="1"/>
    </xf>
    <xf numFmtId="164" fontId="4" fillId="0" borderId="22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2" xfId="0" applyNumberFormat="1" applyFont="1" applyBorder="1" applyAlignment="1">
      <alignment horizontal="left" indent="1"/>
    </xf>
    <xf numFmtId="164" fontId="4" fillId="0" borderId="25" xfId="0" applyNumberFormat="1" applyFont="1" applyBorder="1" applyAlignment="1">
      <alignment horizontal="left" indent="1"/>
    </xf>
    <xf numFmtId="164" fontId="3" fillId="0" borderId="26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/>
    </xf>
    <xf numFmtId="164" fontId="3" fillId="0" borderId="27" xfId="0" applyNumberFormat="1" applyFont="1" applyBorder="1" applyAlignment="1">
      <alignment wrapText="1"/>
    </xf>
    <xf numFmtId="164" fontId="3" fillId="0" borderId="26" xfId="0" applyNumberFormat="1" applyFont="1" applyBorder="1" applyAlignment="1">
      <alignment wrapText="1"/>
    </xf>
    <xf numFmtId="164" fontId="3" fillId="0" borderId="28" xfId="0" applyNumberFormat="1" applyFont="1" applyBorder="1" applyAlignment="1">
      <alignment wrapText="1"/>
    </xf>
    <xf numFmtId="164" fontId="3" fillId="0" borderId="0" xfId="0" applyNumberFormat="1" applyFont="1" applyAlignment="1">
      <alignment/>
    </xf>
    <xf numFmtId="164" fontId="4" fillId="0" borderId="23" xfId="0" applyNumberFormat="1" applyFont="1" applyFill="1" applyBorder="1" applyAlignment="1">
      <alignment wrapText="1"/>
    </xf>
    <xf numFmtId="164" fontId="4" fillId="0" borderId="29" xfId="0" applyNumberFormat="1" applyFont="1" applyBorder="1" applyAlignment="1">
      <alignment horizontal="left" indent="1"/>
    </xf>
    <xf numFmtId="164" fontId="4" fillId="0" borderId="30" xfId="0" applyNumberFormat="1" applyFont="1" applyBorder="1" applyAlignment="1">
      <alignment wrapText="1"/>
    </xf>
    <xf numFmtId="164" fontId="4" fillId="0" borderId="31" xfId="0" applyNumberFormat="1" applyFont="1" applyFill="1" applyBorder="1" applyAlignment="1">
      <alignment wrapText="1"/>
    </xf>
    <xf numFmtId="164" fontId="3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33" xfId="0" applyNumberFormat="1" applyFont="1" applyBorder="1" applyAlignment="1">
      <alignment wrapText="1"/>
    </xf>
    <xf numFmtId="164" fontId="3" fillId="0" borderId="32" xfId="0" applyNumberFormat="1" applyFont="1" applyBorder="1" applyAlignment="1">
      <alignment wrapText="1"/>
    </xf>
    <xf numFmtId="164" fontId="3" fillId="0" borderId="34" xfId="0" applyNumberFormat="1" applyFont="1" applyBorder="1" applyAlignment="1">
      <alignment wrapText="1"/>
    </xf>
    <xf numFmtId="164" fontId="3" fillId="0" borderId="35" xfId="0" applyNumberFormat="1" applyFont="1" applyBorder="1" applyAlignment="1">
      <alignment wrapText="1"/>
    </xf>
    <xf numFmtId="165" fontId="4" fillId="0" borderId="0" xfId="110" applyNumberFormat="1" applyFont="1" applyAlignment="1">
      <alignment/>
    </xf>
    <xf numFmtId="164" fontId="4" fillId="0" borderId="29" xfId="0" applyNumberFormat="1" applyFont="1" applyBorder="1" applyAlignment="1">
      <alignment/>
    </xf>
    <xf numFmtId="164" fontId="4" fillId="0" borderId="34" xfId="0" applyNumberFormat="1" applyFont="1" applyBorder="1" applyAlignment="1">
      <alignment wrapText="1"/>
    </xf>
    <xf numFmtId="164" fontId="4" fillId="0" borderId="26" xfId="0" applyNumberFormat="1" applyFont="1" applyBorder="1" applyAlignment="1">
      <alignment horizontal="right"/>
    </xf>
    <xf numFmtId="164" fontId="4" fillId="0" borderId="27" xfId="0" applyNumberFormat="1" applyFont="1" applyBorder="1" applyAlignment="1">
      <alignment/>
    </xf>
    <xf numFmtId="164" fontId="4" fillId="0" borderId="27" xfId="0" applyNumberFormat="1" applyFont="1" applyBorder="1" applyAlignment="1">
      <alignment wrapText="1"/>
    </xf>
    <xf numFmtId="164" fontId="4" fillId="0" borderId="26" xfId="0" applyNumberFormat="1" applyFont="1" applyBorder="1" applyAlignment="1">
      <alignment wrapText="1"/>
    </xf>
    <xf numFmtId="164" fontId="4" fillId="0" borderId="28" xfId="0" applyNumberFormat="1" applyFont="1" applyBorder="1" applyAlignment="1">
      <alignment wrapText="1"/>
    </xf>
    <xf numFmtId="164" fontId="4" fillId="0" borderId="36" xfId="0" applyNumberFormat="1" applyFont="1" applyBorder="1" applyAlignment="1">
      <alignment/>
    </xf>
    <xf numFmtId="164" fontId="4" fillId="0" borderId="36" xfId="0" applyNumberFormat="1" applyFont="1" applyBorder="1" applyAlignment="1">
      <alignment wrapText="1"/>
    </xf>
    <xf numFmtId="164" fontId="4" fillId="0" borderId="25" xfId="0" applyNumberFormat="1" applyFont="1" applyBorder="1" applyAlignment="1">
      <alignment wrapText="1"/>
    </xf>
    <xf numFmtId="164" fontId="4" fillId="0" borderId="37" xfId="0" applyNumberFormat="1" applyFont="1" applyBorder="1" applyAlignment="1">
      <alignment horizontal="right"/>
    </xf>
    <xf numFmtId="164" fontId="4" fillId="0" borderId="38" xfId="0" applyNumberFormat="1" applyFont="1" applyBorder="1" applyAlignment="1">
      <alignment/>
    </xf>
    <xf numFmtId="164" fontId="4" fillId="0" borderId="38" xfId="0" applyNumberFormat="1" applyFont="1" applyBorder="1" applyAlignment="1">
      <alignment wrapText="1"/>
    </xf>
    <xf numFmtId="164" fontId="4" fillId="0" borderId="29" xfId="0" applyNumberFormat="1" applyFont="1" applyBorder="1" applyAlignment="1">
      <alignment wrapText="1"/>
    </xf>
    <xf numFmtId="164" fontId="4" fillId="0" borderId="31" xfId="0" applyNumberFormat="1" applyFont="1" applyBorder="1" applyAlignment="1">
      <alignment wrapText="1"/>
    </xf>
    <xf numFmtId="164" fontId="3" fillId="0" borderId="25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164" fontId="3" fillId="0" borderId="36" xfId="0" applyNumberFormat="1" applyFont="1" applyBorder="1" applyAlignment="1">
      <alignment wrapText="1"/>
    </xf>
    <xf numFmtId="164" fontId="3" fillId="0" borderId="25" xfId="0" applyNumberFormat="1" applyFont="1" applyBorder="1" applyAlignment="1">
      <alignment wrapText="1"/>
    </xf>
    <xf numFmtId="164" fontId="4" fillId="0" borderId="39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66" fontId="4" fillId="0" borderId="40" xfId="0" applyNumberFormat="1" applyFont="1" applyBorder="1" applyAlignment="1">
      <alignment wrapText="1"/>
    </xf>
    <xf numFmtId="166" fontId="4" fillId="0" borderId="39" xfId="0" applyNumberFormat="1" applyFont="1" applyBorder="1" applyAlignment="1">
      <alignment wrapText="1"/>
    </xf>
    <xf numFmtId="166" fontId="4" fillId="0" borderId="41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4" fillId="0" borderId="0" xfId="0" applyNumberFormat="1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164" fontId="3" fillId="55" borderId="19" xfId="0" applyNumberFormat="1" applyFont="1" applyFill="1" applyBorder="1" applyAlignment="1">
      <alignment horizontal="right" wrapText="1"/>
    </xf>
    <xf numFmtId="164" fontId="3" fillId="0" borderId="23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 indent="1"/>
    </xf>
    <xf numFmtId="164" fontId="3" fillId="0" borderId="27" xfId="0" applyNumberFormat="1" applyFont="1" applyBorder="1" applyAlignment="1">
      <alignment horizontal="right"/>
    </xf>
    <xf numFmtId="164" fontId="4" fillId="0" borderId="22" xfId="0" applyNumberFormat="1" applyFont="1" applyBorder="1" applyAlignment="1" quotePrefix="1">
      <alignment wrapText="1"/>
    </xf>
    <xf numFmtId="164" fontId="3" fillId="0" borderId="33" xfId="0" applyNumberFormat="1" applyFont="1" applyBorder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 indent="1"/>
    </xf>
    <xf numFmtId="164" fontId="4" fillId="0" borderId="38" xfId="0" applyNumberFormat="1" applyFont="1" applyBorder="1" applyAlignment="1">
      <alignment horizontal="right"/>
    </xf>
    <xf numFmtId="164" fontId="3" fillId="0" borderId="36" xfId="0" applyNumberFormat="1" applyFont="1" applyBorder="1" applyAlignment="1">
      <alignment horizontal="right"/>
    </xf>
    <xf numFmtId="6" fontId="4" fillId="0" borderId="40" xfId="0" applyNumberFormat="1" applyFont="1" applyBorder="1" applyAlignment="1">
      <alignment horizontal="right"/>
    </xf>
    <xf numFmtId="6" fontId="4" fillId="0" borderId="40" xfId="0" applyNumberFormat="1" applyFont="1" applyBorder="1" applyAlignment="1">
      <alignment wrapText="1"/>
    </xf>
    <xf numFmtId="6" fontId="4" fillId="0" borderId="39" xfId="0" applyNumberFormat="1" applyFont="1" applyBorder="1" applyAlignment="1">
      <alignment wrapText="1"/>
    </xf>
    <xf numFmtId="6" fontId="4" fillId="0" borderId="41" xfId="0" applyNumberFormat="1" applyFont="1" applyBorder="1" applyAlignment="1">
      <alignment wrapText="1"/>
    </xf>
    <xf numFmtId="164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horizontal="right" indent="1"/>
    </xf>
    <xf numFmtId="164" fontId="4" fillId="0" borderId="0" xfId="0" applyNumberFormat="1" applyFont="1" applyAlignment="1">
      <alignment horizontal="right"/>
    </xf>
    <xf numFmtId="164" fontId="4" fillId="0" borderId="0" xfId="105" applyNumberFormat="1" applyFont="1">
      <alignment/>
      <protection/>
    </xf>
    <xf numFmtId="164" fontId="4" fillId="0" borderId="0" xfId="105" applyNumberFormat="1" applyFont="1" applyAlignment="1">
      <alignment wrapText="1"/>
      <protection/>
    </xf>
    <xf numFmtId="0" fontId="8" fillId="0" borderId="0" xfId="105" applyFont="1" applyFill="1" applyAlignment="1">
      <alignment horizontal="left" indent="1"/>
      <protection/>
    </xf>
    <xf numFmtId="0" fontId="8" fillId="0" borderId="0" xfId="105" applyFont="1" applyAlignment="1">
      <alignment horizontal="left"/>
      <protection/>
    </xf>
    <xf numFmtId="164" fontId="4" fillId="0" borderId="0" xfId="105" applyNumberFormat="1" applyFont="1" applyAlignment="1">
      <alignment/>
      <protection/>
    </xf>
    <xf numFmtId="164" fontId="7" fillId="0" borderId="0" xfId="105" applyNumberFormat="1" applyFont="1">
      <alignment/>
      <protection/>
    </xf>
    <xf numFmtId="164" fontId="4" fillId="0" borderId="40" xfId="105" applyNumberFormat="1" applyFont="1" applyBorder="1" applyAlignment="1">
      <alignment wrapText="1"/>
      <protection/>
    </xf>
    <xf numFmtId="164" fontId="4" fillId="0" borderId="42" xfId="105" applyNumberFormat="1" applyFont="1" applyBorder="1" applyAlignment="1">
      <alignment/>
      <protection/>
    </xf>
    <xf numFmtId="164" fontId="4" fillId="0" borderId="41" xfId="105" applyNumberFormat="1" applyFont="1" applyBorder="1" applyAlignment="1">
      <alignment/>
      <protection/>
    </xf>
    <xf numFmtId="164" fontId="4" fillId="0" borderId="39" xfId="105" applyNumberFormat="1" applyFont="1" applyBorder="1" applyAlignment="1">
      <alignment/>
      <protection/>
    </xf>
    <xf numFmtId="164" fontId="4" fillId="0" borderId="40" xfId="105" applyNumberFormat="1" applyFont="1" applyBorder="1" applyAlignment="1">
      <alignment/>
      <protection/>
    </xf>
    <xf numFmtId="164" fontId="4" fillId="0" borderId="39" xfId="105" applyNumberFormat="1" applyFont="1" applyBorder="1">
      <alignment/>
      <protection/>
    </xf>
    <xf numFmtId="164" fontId="4" fillId="0" borderId="23" xfId="105" applyNumberFormat="1" applyFont="1" applyBorder="1" applyAlignment="1">
      <alignment wrapText="1"/>
      <protection/>
    </xf>
    <xf numFmtId="164" fontId="4" fillId="0" borderId="43" xfId="105" applyNumberFormat="1" applyFont="1" applyBorder="1" applyAlignment="1">
      <alignment wrapText="1"/>
      <protection/>
    </xf>
    <xf numFmtId="164" fontId="4" fillId="0" borderId="44" xfId="105" applyNumberFormat="1" applyFont="1" applyBorder="1" applyAlignment="1">
      <alignment/>
      <protection/>
    </xf>
    <xf numFmtId="164" fontId="4" fillId="0" borderId="45" xfId="105" applyNumberFormat="1" applyFont="1" applyBorder="1" applyAlignment="1">
      <alignment wrapText="1"/>
      <protection/>
    </xf>
    <xf numFmtId="164" fontId="4" fillId="0" borderId="23" xfId="105" applyNumberFormat="1" applyFont="1" applyBorder="1" applyAlignment="1">
      <alignment/>
      <protection/>
    </xf>
    <xf numFmtId="164" fontId="4" fillId="0" borderId="22" xfId="105" applyNumberFormat="1" applyFont="1" applyBorder="1">
      <alignment/>
      <protection/>
    </xf>
    <xf numFmtId="164" fontId="3" fillId="0" borderId="0" xfId="105" applyNumberFormat="1" applyFont="1">
      <alignment/>
      <protection/>
    </xf>
    <xf numFmtId="164" fontId="3" fillId="0" borderId="33" xfId="105" applyNumberFormat="1" applyFont="1" applyBorder="1" applyAlignment="1">
      <alignment wrapText="1"/>
      <protection/>
    </xf>
    <xf numFmtId="164" fontId="3" fillId="0" borderId="34" xfId="105" applyNumberFormat="1" applyFont="1" applyBorder="1" applyAlignment="1">
      <alignment wrapText="1"/>
      <protection/>
    </xf>
    <xf numFmtId="164" fontId="3" fillId="0" borderId="36" xfId="105" applyNumberFormat="1" applyFont="1" applyBorder="1" applyAlignment="1">
      <alignment/>
      <protection/>
    </xf>
    <xf numFmtId="164" fontId="3" fillId="0" borderId="25" xfId="105" applyNumberFormat="1" applyFont="1" applyBorder="1">
      <alignment/>
      <protection/>
    </xf>
    <xf numFmtId="164" fontId="4" fillId="0" borderId="38" xfId="105" applyNumberFormat="1" applyFont="1" applyBorder="1" applyAlignment="1">
      <alignment wrapText="1"/>
      <protection/>
    </xf>
    <xf numFmtId="164" fontId="4" fillId="0" borderId="30" xfId="105" applyNumberFormat="1" applyFont="1" applyBorder="1" applyAlignment="1">
      <alignment wrapText="1"/>
      <protection/>
    </xf>
    <xf numFmtId="164" fontId="4" fillId="0" borderId="38" xfId="105" applyNumberFormat="1" applyFont="1" applyBorder="1" applyAlignment="1">
      <alignment/>
      <protection/>
    </xf>
    <xf numFmtId="164" fontId="4" fillId="0" borderId="37" xfId="105" applyNumberFormat="1" applyFont="1" applyBorder="1" applyAlignment="1">
      <alignment horizontal="right"/>
      <protection/>
    </xf>
    <xf numFmtId="164" fontId="4" fillId="0" borderId="34" xfId="105" applyNumberFormat="1" applyFont="1" applyBorder="1" applyAlignment="1">
      <alignment wrapText="1"/>
      <protection/>
    </xf>
    <xf numFmtId="164" fontId="4" fillId="0" borderId="25" xfId="105" applyNumberFormat="1" applyFont="1" applyBorder="1" applyAlignment="1">
      <alignment wrapText="1"/>
      <protection/>
    </xf>
    <xf numFmtId="164" fontId="4" fillId="0" borderId="36" xfId="105" applyNumberFormat="1" applyFont="1" applyBorder="1" applyAlignment="1">
      <alignment wrapText="1"/>
      <protection/>
    </xf>
    <xf numFmtId="164" fontId="4" fillId="0" borderId="36" xfId="105" applyNumberFormat="1" applyFont="1" applyBorder="1" applyAlignment="1">
      <alignment/>
      <protection/>
    </xf>
    <xf numFmtId="164" fontId="4" fillId="0" borderId="25" xfId="105" applyNumberFormat="1" applyFont="1" applyBorder="1" applyAlignment="1">
      <alignment horizontal="left" indent="1"/>
      <protection/>
    </xf>
    <xf numFmtId="164" fontId="4" fillId="0" borderId="0" xfId="105" applyNumberFormat="1" applyFont="1" applyBorder="1" applyAlignment="1">
      <alignment wrapText="1"/>
      <protection/>
    </xf>
    <xf numFmtId="164" fontId="4" fillId="0" borderId="22" xfId="105" applyNumberFormat="1" applyFont="1" applyBorder="1" applyAlignment="1">
      <alignment wrapText="1"/>
      <protection/>
    </xf>
    <xf numFmtId="164" fontId="4" fillId="0" borderId="22" xfId="105" applyNumberFormat="1" applyFont="1" applyBorder="1" applyAlignment="1">
      <alignment horizontal="left" indent="1"/>
      <protection/>
    </xf>
    <xf numFmtId="164" fontId="4" fillId="0" borderId="27" xfId="105" applyNumberFormat="1" applyFont="1" applyBorder="1" applyAlignment="1">
      <alignment wrapText="1"/>
      <protection/>
    </xf>
    <xf numFmtId="164" fontId="4" fillId="0" borderId="46" xfId="105" applyNumberFormat="1" applyFont="1" applyBorder="1" applyAlignment="1">
      <alignment wrapText="1"/>
      <protection/>
    </xf>
    <xf numFmtId="164" fontId="4" fillId="0" borderId="26" xfId="105" applyNumberFormat="1" applyFont="1" applyBorder="1" applyAlignment="1">
      <alignment wrapText="1"/>
      <protection/>
    </xf>
    <xf numFmtId="164" fontId="4" fillId="0" borderId="27" xfId="105" applyNumberFormat="1" applyFont="1" applyBorder="1" applyAlignment="1">
      <alignment/>
      <protection/>
    </xf>
    <xf numFmtId="164" fontId="4" fillId="0" borderId="26" xfId="105" applyNumberFormat="1" applyFont="1" applyBorder="1" applyAlignment="1">
      <alignment horizontal="right"/>
      <protection/>
    </xf>
    <xf numFmtId="164" fontId="3" fillId="0" borderId="23" xfId="105" applyNumberFormat="1" applyFont="1" applyBorder="1" applyAlignment="1">
      <alignment/>
      <protection/>
    </xf>
    <xf numFmtId="164" fontId="3" fillId="0" borderId="22" xfId="105" applyNumberFormat="1" applyFont="1" applyBorder="1">
      <alignment/>
      <protection/>
    </xf>
    <xf numFmtId="164" fontId="3" fillId="0" borderId="33" xfId="105" applyNumberFormat="1" applyFont="1" applyBorder="1" applyAlignment="1">
      <alignment/>
      <protection/>
    </xf>
    <xf numFmtId="164" fontId="3" fillId="0" borderId="32" xfId="105" applyNumberFormat="1" applyFont="1" applyBorder="1">
      <alignment/>
      <protection/>
    </xf>
    <xf numFmtId="164" fontId="4" fillId="0" borderId="31" xfId="105" applyNumberFormat="1" applyFont="1" applyBorder="1" applyAlignment="1">
      <alignment wrapText="1"/>
      <protection/>
    </xf>
    <xf numFmtId="164" fontId="4" fillId="0" borderId="47" xfId="105" applyNumberFormat="1" applyFont="1" applyBorder="1" applyAlignment="1">
      <alignment wrapText="1"/>
      <protection/>
    </xf>
    <xf numFmtId="164" fontId="4" fillId="0" borderId="29" xfId="105" applyNumberFormat="1" applyFont="1" applyBorder="1" applyAlignment="1">
      <alignment wrapText="1"/>
      <protection/>
    </xf>
    <xf numFmtId="164" fontId="4" fillId="0" borderId="29" xfId="105" applyNumberFormat="1" applyFont="1" applyBorder="1">
      <alignment/>
      <protection/>
    </xf>
    <xf numFmtId="9" fontId="4" fillId="0" borderId="0" xfId="111" applyFont="1" applyAlignment="1">
      <alignment/>
    </xf>
    <xf numFmtId="164" fontId="4" fillId="0" borderId="0" xfId="105" applyNumberFormat="1" applyFont="1" applyAlignment="1">
      <alignment horizontal="right"/>
      <protection/>
    </xf>
    <xf numFmtId="164" fontId="3" fillId="0" borderId="35" xfId="105" applyNumberFormat="1" applyFont="1" applyBorder="1" applyAlignment="1">
      <alignment wrapText="1"/>
      <protection/>
    </xf>
    <xf numFmtId="164" fontId="3" fillId="0" borderId="32" xfId="105" applyNumberFormat="1" applyFont="1" applyBorder="1" applyAlignment="1">
      <alignment wrapText="1"/>
      <protection/>
    </xf>
    <xf numFmtId="164" fontId="3" fillId="0" borderId="33" xfId="105" applyNumberFormat="1" applyFont="1" applyFill="1" applyBorder="1" applyAlignment="1">
      <alignment wrapText="1"/>
      <protection/>
    </xf>
    <xf numFmtId="164" fontId="4" fillId="0" borderId="23" xfId="105" applyNumberFormat="1" applyFont="1" applyFill="1" applyBorder="1" applyAlignment="1">
      <alignment wrapText="1"/>
      <protection/>
    </xf>
    <xf numFmtId="164" fontId="4" fillId="0" borderId="29" xfId="105" applyNumberFormat="1" applyFont="1" applyBorder="1" applyAlignment="1">
      <alignment horizontal="left" indent="1"/>
      <protection/>
    </xf>
    <xf numFmtId="164" fontId="3" fillId="0" borderId="27" xfId="105" applyNumberFormat="1" applyFont="1" applyBorder="1" applyAlignment="1">
      <alignment wrapText="1"/>
      <protection/>
    </xf>
    <xf numFmtId="164" fontId="3" fillId="0" borderId="46" xfId="105" applyNumberFormat="1" applyFont="1" applyBorder="1" applyAlignment="1">
      <alignment wrapText="1"/>
      <protection/>
    </xf>
    <xf numFmtId="164" fontId="3" fillId="0" borderId="28" xfId="105" applyNumberFormat="1" applyFont="1" applyBorder="1" applyAlignment="1">
      <alignment wrapText="1"/>
      <protection/>
    </xf>
    <xf numFmtId="164" fontId="3" fillId="0" borderId="26" xfId="105" applyNumberFormat="1" applyFont="1" applyBorder="1" applyAlignment="1">
      <alignment wrapText="1"/>
      <protection/>
    </xf>
    <xf numFmtId="164" fontId="3" fillId="0" borderId="27" xfId="105" applyNumberFormat="1" applyFont="1" applyFill="1" applyBorder="1" applyAlignment="1">
      <alignment/>
      <protection/>
    </xf>
    <xf numFmtId="164" fontId="3" fillId="0" borderId="27" xfId="105" applyNumberFormat="1" applyFont="1" applyBorder="1" applyAlignment="1">
      <alignment/>
      <protection/>
    </xf>
    <xf numFmtId="164" fontId="3" fillId="0" borderId="26" xfId="105" applyNumberFormat="1" applyFont="1" applyBorder="1" applyAlignment="1">
      <alignment horizontal="right"/>
      <protection/>
    </xf>
    <xf numFmtId="164" fontId="4" fillId="0" borderId="24" xfId="105" applyNumberFormat="1" applyFont="1" applyBorder="1" applyAlignment="1">
      <alignment wrapText="1"/>
      <protection/>
    </xf>
    <xf numFmtId="164" fontId="3" fillId="0" borderId="0" xfId="105" applyNumberFormat="1" applyFont="1" applyAlignment="1">
      <alignment horizontal="center"/>
      <protection/>
    </xf>
    <xf numFmtId="164" fontId="3" fillId="55" borderId="19" xfId="105" applyNumberFormat="1" applyFont="1" applyFill="1" applyBorder="1" applyAlignment="1">
      <alignment horizontal="center" wrapText="1"/>
      <protection/>
    </xf>
    <xf numFmtId="164" fontId="3" fillId="55" borderId="48" xfId="105" applyNumberFormat="1" applyFont="1" applyFill="1" applyBorder="1" applyAlignment="1">
      <alignment horizontal="center" wrapText="1"/>
      <protection/>
    </xf>
    <xf numFmtId="164" fontId="3" fillId="55" borderId="21" xfId="105" applyNumberFormat="1" applyFont="1" applyFill="1" applyBorder="1" applyAlignment="1">
      <alignment horizontal="center" wrapText="1"/>
      <protection/>
    </xf>
    <xf numFmtId="164" fontId="3" fillId="55" borderId="20" xfId="105" applyNumberFormat="1" applyFont="1" applyFill="1" applyBorder="1" applyAlignment="1">
      <alignment horizontal="center" wrapText="1"/>
      <protection/>
    </xf>
    <xf numFmtId="164" fontId="5" fillId="0" borderId="0" xfId="105" applyNumberFormat="1" applyFont="1" applyAlignment="1">
      <alignment horizontal="center"/>
      <protection/>
    </xf>
    <xf numFmtId="164" fontId="5" fillId="0" borderId="0" xfId="105" applyNumberFormat="1" applyFont="1" applyFill="1" applyAlignment="1">
      <alignment horizontal="center"/>
      <protection/>
    </xf>
    <xf numFmtId="0" fontId="5" fillId="0" borderId="0" xfId="105" applyNumberFormat="1" applyFont="1" applyAlignment="1">
      <alignment horizontal="centerContinuous"/>
      <protection/>
    </xf>
    <xf numFmtId="0" fontId="3" fillId="0" borderId="0" xfId="105" applyNumberFormat="1" applyFont="1" applyAlignment="1">
      <alignment horizontal="centerContinuous"/>
      <protection/>
    </xf>
    <xf numFmtId="164" fontId="3" fillId="0" borderId="23" xfId="105" applyNumberFormat="1" applyFont="1" applyBorder="1">
      <alignment/>
      <protection/>
    </xf>
    <xf numFmtId="164" fontId="4" fillId="0" borderId="23" xfId="105" applyNumberFormat="1" applyFont="1" applyBorder="1">
      <alignment/>
      <protection/>
    </xf>
    <xf numFmtId="164" fontId="4" fillId="0" borderId="28" xfId="105" applyNumberFormat="1" applyFont="1" applyBorder="1" applyAlignment="1">
      <alignment wrapText="1"/>
      <protection/>
    </xf>
    <xf numFmtId="164" fontId="7" fillId="0" borderId="0" xfId="105" applyNumberFormat="1" applyFont="1" applyFill="1">
      <alignment/>
      <protection/>
    </xf>
    <xf numFmtId="0" fontId="8" fillId="0" borderId="0" xfId="105" applyFont="1" applyFill="1" applyAlignment="1">
      <alignment horizontal="left"/>
      <protection/>
    </xf>
    <xf numFmtId="164" fontId="4" fillId="0" borderId="49" xfId="105" applyNumberFormat="1" applyFont="1" applyBorder="1" applyAlignment="1">
      <alignment wrapText="1"/>
      <protection/>
    </xf>
    <xf numFmtId="164" fontId="4" fillId="0" borderId="22" xfId="105" applyNumberFormat="1" applyFont="1" applyBorder="1" applyAlignment="1">
      <alignment/>
      <protection/>
    </xf>
    <xf numFmtId="164" fontId="4" fillId="0" borderId="50" xfId="105" applyNumberFormat="1" applyFont="1" applyBorder="1" applyAlignment="1">
      <alignment/>
      <protection/>
    </xf>
    <xf numFmtId="164" fontId="4" fillId="0" borderId="0" xfId="105" applyNumberFormat="1" applyFont="1" applyBorder="1" applyAlignment="1">
      <alignment/>
      <protection/>
    </xf>
    <xf numFmtId="164" fontId="4" fillId="0" borderId="30" xfId="105" applyNumberFormat="1" applyFont="1" applyBorder="1" applyAlignment="1">
      <alignment/>
      <protection/>
    </xf>
    <xf numFmtId="164" fontId="4" fillId="0" borderId="34" xfId="105" applyNumberFormat="1" applyFont="1" applyBorder="1" applyAlignment="1">
      <alignment/>
      <protection/>
    </xf>
    <xf numFmtId="164" fontId="4" fillId="0" borderId="25" xfId="105" applyNumberFormat="1" applyFont="1" applyBorder="1" applyAlignment="1">
      <alignment/>
      <protection/>
    </xf>
    <xf numFmtId="164" fontId="4" fillId="0" borderId="49" xfId="105" applyNumberFormat="1" applyFont="1" applyBorder="1" applyAlignment="1">
      <alignment/>
      <protection/>
    </xf>
    <xf numFmtId="164" fontId="4" fillId="0" borderId="40" xfId="0" applyNumberFormat="1" applyFont="1" applyBorder="1" applyAlignment="1">
      <alignment wrapText="1"/>
    </xf>
    <xf numFmtId="164" fontId="3" fillId="55" borderId="20" xfId="105" applyNumberFormat="1" applyFont="1" applyFill="1" applyBorder="1" applyAlignment="1">
      <alignment horizontal="center" wrapText="1"/>
      <protection/>
    </xf>
    <xf numFmtId="164" fontId="3" fillId="55" borderId="21" xfId="105" applyNumberFormat="1" applyFont="1" applyFill="1" applyBorder="1" applyAlignment="1">
      <alignment horizontal="center" wrapText="1"/>
      <protection/>
    </xf>
    <xf numFmtId="164" fontId="3" fillId="55" borderId="48" xfId="105" applyNumberFormat="1" applyFont="1" applyFill="1" applyBorder="1" applyAlignment="1">
      <alignment horizontal="center" wrapText="1"/>
      <protection/>
    </xf>
    <xf numFmtId="165" fontId="3" fillId="0" borderId="0" xfId="110" applyNumberFormat="1" applyFont="1" applyAlignment="1">
      <alignment/>
    </xf>
    <xf numFmtId="164" fontId="3" fillId="0" borderId="0" xfId="105" applyNumberFormat="1" applyFont="1" applyAlignment="1">
      <alignment horizontal="center" wrapText="1"/>
      <protection/>
    </xf>
    <xf numFmtId="164" fontId="6" fillId="0" borderId="0" xfId="105" applyNumberFormat="1" applyFont="1">
      <alignment/>
      <protection/>
    </xf>
    <xf numFmtId="9" fontId="4" fillId="0" borderId="0" xfId="110" applyFont="1" applyAlignment="1">
      <alignment/>
    </xf>
    <xf numFmtId="164" fontId="4" fillId="0" borderId="0" xfId="105" applyNumberFormat="1" applyFont="1" applyFill="1" applyBorder="1" applyAlignment="1">
      <alignment/>
      <protection/>
    </xf>
    <xf numFmtId="164" fontId="4" fillId="0" borderId="50" xfId="105" applyNumberFormat="1" applyFont="1" applyFill="1" applyBorder="1" applyAlignment="1">
      <alignment/>
      <protection/>
    </xf>
    <xf numFmtId="164" fontId="3" fillId="0" borderId="28" xfId="105" applyNumberFormat="1" applyFont="1" applyFill="1" applyBorder="1" applyAlignment="1">
      <alignment wrapText="1"/>
      <protection/>
    </xf>
    <xf numFmtId="164" fontId="4" fillId="0" borderId="30" xfId="105" applyNumberFormat="1" applyFont="1" applyFill="1" applyBorder="1" applyAlignment="1">
      <alignment/>
      <protection/>
    </xf>
    <xf numFmtId="164" fontId="4" fillId="0" borderId="22" xfId="105" applyNumberFormat="1" applyFont="1" applyBorder="1" applyAlignment="1">
      <alignment horizontal="left" indent="2"/>
      <protection/>
    </xf>
    <xf numFmtId="164" fontId="4" fillId="0" borderId="37" xfId="105" applyNumberFormat="1" applyFont="1" applyBorder="1" applyAlignment="1">
      <alignment/>
      <protection/>
    </xf>
    <xf numFmtId="164" fontId="4" fillId="0" borderId="51" xfId="105" applyNumberFormat="1" applyFont="1" applyBorder="1" applyAlignment="1">
      <alignment/>
      <protection/>
    </xf>
    <xf numFmtId="164" fontId="4" fillId="0" borderId="31" xfId="105" applyNumberFormat="1" applyFont="1" applyBorder="1" applyAlignment="1">
      <alignment/>
      <protection/>
    </xf>
    <xf numFmtId="164" fontId="3" fillId="0" borderId="25" xfId="105" applyNumberFormat="1" applyFont="1" applyBorder="1" applyAlignment="1">
      <alignment/>
      <protection/>
    </xf>
    <xf numFmtId="164" fontId="3" fillId="0" borderId="34" xfId="105" applyNumberFormat="1" applyFont="1" applyBorder="1" applyAlignment="1">
      <alignment/>
      <protection/>
    </xf>
    <xf numFmtId="164" fontId="4" fillId="0" borderId="22" xfId="105" applyNumberFormat="1" applyFont="1" applyBorder="1" applyAlignment="1">
      <alignment horizontal="left" wrapText="1" indent="1"/>
      <protection/>
    </xf>
    <xf numFmtId="164" fontId="3" fillId="55" borderId="48" xfId="105" applyNumberFormat="1" applyFont="1" applyFill="1" applyBorder="1" applyAlignment="1">
      <alignment horizontal="center" wrapText="1"/>
      <protection/>
    </xf>
    <xf numFmtId="9" fontId="3" fillId="0" borderId="0" xfId="110" applyFont="1" applyAlignment="1">
      <alignment/>
    </xf>
    <xf numFmtId="164" fontId="3" fillId="55" borderId="52" xfId="105" applyNumberFormat="1" applyFont="1" applyFill="1" applyBorder="1" applyAlignment="1">
      <alignment horizontal="center" vertical="center"/>
      <protection/>
    </xf>
    <xf numFmtId="164" fontId="3" fillId="55" borderId="39" xfId="105" applyNumberFormat="1" applyFont="1" applyFill="1" applyBorder="1" applyAlignment="1">
      <alignment horizontal="center" vertical="center"/>
      <protection/>
    </xf>
    <xf numFmtId="164" fontId="3" fillId="55" borderId="20" xfId="105" applyNumberFormat="1" applyFont="1" applyFill="1" applyBorder="1" applyAlignment="1">
      <alignment horizontal="center"/>
      <protection/>
    </xf>
    <xf numFmtId="164" fontId="3" fillId="55" borderId="48" xfId="105" applyNumberFormat="1" applyFont="1" applyFill="1" applyBorder="1" applyAlignment="1">
      <alignment horizontal="center"/>
      <protection/>
    </xf>
    <xf numFmtId="164" fontId="3" fillId="55" borderId="20" xfId="105" applyNumberFormat="1" applyFont="1" applyFill="1" applyBorder="1" applyAlignment="1">
      <alignment horizontal="center" wrapText="1"/>
      <protection/>
    </xf>
    <xf numFmtId="164" fontId="3" fillId="55" borderId="21" xfId="105" applyNumberFormat="1" applyFont="1" applyFill="1" applyBorder="1" applyAlignment="1">
      <alignment horizontal="center" wrapText="1"/>
      <protection/>
    </xf>
    <xf numFmtId="164" fontId="3" fillId="55" borderId="48" xfId="105" applyNumberFormat="1" applyFont="1" applyFill="1" applyBorder="1" applyAlignment="1">
      <alignment horizontal="center" wrapText="1"/>
      <protection/>
    </xf>
    <xf numFmtId="164" fontId="3" fillId="55" borderId="52" xfId="0" applyNumberFormat="1" applyFont="1" applyFill="1" applyBorder="1" applyAlignment="1">
      <alignment horizontal="center" vertical="center"/>
    </xf>
    <xf numFmtId="164" fontId="3" fillId="55" borderId="39" xfId="0" applyNumberFormat="1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/>
    </xf>
    <xf numFmtId="164" fontId="3" fillId="55" borderId="48" xfId="0" applyNumberFormat="1" applyFont="1" applyFill="1" applyBorder="1" applyAlignment="1">
      <alignment horizontal="center"/>
    </xf>
    <xf numFmtId="164" fontId="3" fillId="55" borderId="20" xfId="0" applyNumberFormat="1" applyFont="1" applyFill="1" applyBorder="1" applyAlignment="1">
      <alignment horizontal="center" wrapText="1"/>
    </xf>
    <xf numFmtId="164" fontId="3" fillId="55" borderId="21" xfId="0" applyNumberFormat="1" applyFont="1" applyFill="1" applyBorder="1" applyAlignment="1">
      <alignment horizontal="center" wrapText="1"/>
    </xf>
    <xf numFmtId="164" fontId="3" fillId="55" borderId="48" xfId="0" applyNumberFormat="1" applyFont="1" applyFill="1" applyBorder="1" applyAlignment="1">
      <alignment horizontal="center" wrapText="1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4" xfId="74"/>
    <cellStyle name="Comma 4 2" xfId="75"/>
    <cellStyle name="Comma 5" xfId="76"/>
    <cellStyle name="Comma 5 2" xfId="77"/>
    <cellStyle name="Currency" xfId="78"/>
    <cellStyle name="Currency [0]" xfId="79"/>
    <cellStyle name="Currency 2" xfId="80"/>
    <cellStyle name="Currency 3" xfId="81"/>
    <cellStyle name="Currency 3 2" xfId="82"/>
    <cellStyle name="Explanatory Text" xfId="83"/>
    <cellStyle name="Explanatory Text 2" xfId="84"/>
    <cellStyle name="Good" xfId="85"/>
    <cellStyle name="Good 2" xfId="86"/>
    <cellStyle name="Heading 1" xfId="87"/>
    <cellStyle name="Heading 1 2" xfId="88"/>
    <cellStyle name="Heading 2" xfId="89"/>
    <cellStyle name="Heading 2 2" xfId="90"/>
    <cellStyle name="Heading 3" xfId="91"/>
    <cellStyle name="Heading 3 2" xfId="92"/>
    <cellStyle name="Heading 4" xfId="93"/>
    <cellStyle name="Heading 4 2" xfId="94"/>
    <cellStyle name="Input" xfId="95"/>
    <cellStyle name="Input 2" xfId="96"/>
    <cellStyle name="Linked Cell" xfId="97"/>
    <cellStyle name="Linked Cell 2" xfId="98"/>
    <cellStyle name="Neutral" xfId="99"/>
    <cellStyle name="Neutral 2" xfId="100"/>
    <cellStyle name="Normal 2" xfId="101"/>
    <cellStyle name="Normal 2 2" xfId="102"/>
    <cellStyle name="Normal 2 2 2" xfId="103"/>
    <cellStyle name="Normal 3" xfId="104"/>
    <cellStyle name="Normal 4" xfId="105"/>
    <cellStyle name="Note" xfId="106"/>
    <cellStyle name="Note 2" xfId="107"/>
    <cellStyle name="Output" xfId="108"/>
    <cellStyle name="Output 2" xfId="109"/>
    <cellStyle name="Percent" xfId="110"/>
    <cellStyle name="Percent 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45.421875" style="90" customWidth="1"/>
    <col min="2" max="3" width="18.421875" style="90" customWidth="1"/>
    <col min="4" max="7" width="18.421875" style="91" customWidth="1"/>
    <col min="8" max="8" width="9.140625" style="90" customWidth="1"/>
    <col min="9" max="9" width="17.28125" style="90" customWidth="1"/>
    <col min="10" max="11" width="12.28125" style="90" customWidth="1"/>
    <col min="12" max="13" width="9.140625" style="90" customWidth="1"/>
    <col min="14" max="14" width="20.57421875" style="90" customWidth="1"/>
    <col min="15" max="15" width="9.140625" style="90" customWidth="1"/>
    <col min="16" max="16" width="12.140625" style="90" customWidth="1"/>
    <col min="17" max="16384" width="9.140625" style="90" customWidth="1"/>
  </cols>
  <sheetData>
    <row r="1" spans="1:7" ht="15.75">
      <c r="A1" s="161" t="s">
        <v>74</v>
      </c>
      <c r="B1" s="161"/>
      <c r="C1" s="161"/>
      <c r="D1" s="161"/>
      <c r="E1" s="161"/>
      <c r="F1" s="161"/>
      <c r="G1" s="161"/>
    </row>
    <row r="2" spans="1:7" ht="15.75">
      <c r="A2" s="161" t="s">
        <v>0</v>
      </c>
      <c r="B2" s="161"/>
      <c r="C2" s="161"/>
      <c r="D2" s="161"/>
      <c r="E2" s="161"/>
      <c r="F2" s="161"/>
      <c r="G2" s="161"/>
    </row>
    <row r="3" spans="1:7" ht="15">
      <c r="A3" s="160" t="s">
        <v>73</v>
      </c>
      <c r="B3" s="160"/>
      <c r="C3" s="160"/>
      <c r="D3" s="160"/>
      <c r="E3" s="160"/>
      <c r="F3" s="160"/>
      <c r="G3" s="160"/>
    </row>
    <row r="4" spans="1:7" ht="15.75" thickBot="1">
      <c r="A4" s="158"/>
      <c r="B4" s="158"/>
      <c r="C4" s="158"/>
      <c r="D4" s="158"/>
      <c r="E4" s="158"/>
      <c r="F4" s="158"/>
      <c r="G4" s="158"/>
    </row>
    <row r="5" spans="1:7" ht="16.5" customHeight="1" thickBot="1">
      <c r="A5" s="196" t="s">
        <v>2</v>
      </c>
      <c r="B5" s="198" t="s">
        <v>3</v>
      </c>
      <c r="C5" s="199"/>
      <c r="D5" s="200" t="s">
        <v>4</v>
      </c>
      <c r="E5" s="201"/>
      <c r="F5" s="201"/>
      <c r="G5" s="202"/>
    </row>
    <row r="6" spans="1:7" s="153" customFormat="1" ht="53.25" customHeight="1" thickBot="1">
      <c r="A6" s="197"/>
      <c r="B6" s="154" t="s">
        <v>5</v>
      </c>
      <c r="C6" s="154" t="s">
        <v>6</v>
      </c>
      <c r="D6" s="157" t="s">
        <v>7</v>
      </c>
      <c r="E6" s="156" t="s">
        <v>8</v>
      </c>
      <c r="F6" s="194" t="s">
        <v>9</v>
      </c>
      <c r="G6" s="155" t="s">
        <v>10</v>
      </c>
    </row>
    <row r="7" spans="1:7" ht="17.25" customHeight="1">
      <c r="A7" s="131" t="s">
        <v>11</v>
      </c>
      <c r="B7" s="162"/>
      <c r="C7" s="102"/>
      <c r="D7" s="123"/>
      <c r="E7" s="122"/>
      <c r="F7" s="122"/>
      <c r="G7" s="152"/>
    </row>
    <row r="8" spans="1:7" ht="17.25" customHeight="1">
      <c r="A8" s="107" t="s">
        <v>12</v>
      </c>
      <c r="B8" s="106"/>
      <c r="C8" s="102"/>
      <c r="D8" s="123"/>
      <c r="E8" s="122"/>
      <c r="F8" s="122"/>
      <c r="G8" s="102"/>
    </row>
    <row r="9" spans="1:7" ht="17.25" customHeight="1">
      <c r="A9" s="124" t="s">
        <v>13</v>
      </c>
      <c r="B9" s="106">
        <f>Boulder!B9+UCCS!B9+Denver!B9+Anschutz!B9</f>
        <v>61134605</v>
      </c>
      <c r="C9" s="106">
        <f>Boulder!C9+UCCS!C9+Denver!C9+Anschutz!C9</f>
        <v>62263061</v>
      </c>
      <c r="D9" s="168">
        <f>Boulder!D9+UCCS!D9+Denver!D9+Anschutz!D9</f>
        <v>61246415</v>
      </c>
      <c r="E9" s="170">
        <f>Boulder!E9+UCCS!E9+Denver!E9+Anschutz!E9</f>
        <v>0</v>
      </c>
      <c r="F9" s="169">
        <f>Boulder!F9+UCCS!F9+Denver!F9+Anschutz!F9</f>
        <v>0</v>
      </c>
      <c r="G9" s="106">
        <f aca="true" t="shared" si="0" ref="G9:G60">SUM(D9:F9)</f>
        <v>61246415</v>
      </c>
    </row>
    <row r="10" spans="1:7" ht="17.25" customHeight="1">
      <c r="A10" s="124" t="s">
        <v>14</v>
      </c>
      <c r="B10" s="106">
        <f>Boulder!B10+UCCS!B10+Denver!B10+Anschutz!B10</f>
        <v>400137103</v>
      </c>
      <c r="C10" s="106">
        <f>Boulder!C10+UCCS!C10+Denver!C10+Anschutz!C10</f>
        <v>409332417</v>
      </c>
      <c r="D10" s="168">
        <f>Boulder!D10+UCCS!D10+Denver!D10+Anschutz!D10</f>
        <v>422525254</v>
      </c>
      <c r="E10" s="170">
        <f>Boulder!E10+UCCS!E10+Denver!E10+Anschutz!E10</f>
        <v>0</v>
      </c>
      <c r="F10" s="169">
        <f>Boulder!F10+UCCS!F10+Denver!F10+Anschutz!F10</f>
        <v>0</v>
      </c>
      <c r="G10" s="106">
        <f t="shared" si="0"/>
        <v>422525254</v>
      </c>
    </row>
    <row r="11" spans="1:7" ht="17.25" customHeight="1">
      <c r="A11" s="124" t="s">
        <v>15</v>
      </c>
      <c r="B11" s="106">
        <f>Boulder!B11+UCCS!B11+Denver!B11+Anschutz!B11</f>
        <v>403817361.4</v>
      </c>
      <c r="C11" s="106">
        <f>Boulder!C11+UCCS!C11+Denver!C11+Anschutz!C11</f>
        <v>410351154</v>
      </c>
      <c r="D11" s="168">
        <f>Boulder!D11+UCCS!D11+Denver!D11+Anschutz!D11</f>
        <v>449769643</v>
      </c>
      <c r="E11" s="170">
        <f>Boulder!E11+UCCS!E11+Denver!E11+Anschutz!E11</f>
        <v>0</v>
      </c>
      <c r="F11" s="169">
        <f>Boulder!F11+UCCS!F11+Denver!F11+Anschutz!F11</f>
        <v>0</v>
      </c>
      <c r="G11" s="106">
        <f t="shared" si="0"/>
        <v>449769643</v>
      </c>
    </row>
    <row r="12" spans="1:7" ht="17.25" customHeight="1">
      <c r="A12" s="124" t="s">
        <v>16</v>
      </c>
      <c r="B12" s="106">
        <f>Boulder!B12+UCCS!B12+Denver!B12+Anschutz!B12</f>
        <v>60345399</v>
      </c>
      <c r="C12" s="106">
        <f>Boulder!C12+UCCS!C12+Denver!C12+Anschutz!C12</f>
        <v>64127333</v>
      </c>
      <c r="D12" s="168">
        <f>Boulder!D12+UCCS!D12+Denver!D12+Anschutz!D12</f>
        <v>0</v>
      </c>
      <c r="E12" s="170">
        <f>Boulder!E12+UCCS!E12+Denver!E12+Anschutz!E12</f>
        <v>66495877</v>
      </c>
      <c r="F12" s="169">
        <f>Boulder!F12+UCCS!F12+Denver!F12+Anschutz!F12</f>
        <v>0</v>
      </c>
      <c r="G12" s="106">
        <f t="shared" si="0"/>
        <v>66495877</v>
      </c>
    </row>
    <row r="13" spans="1:7" ht="17.25" customHeight="1">
      <c r="A13" s="121" t="s">
        <v>17</v>
      </c>
      <c r="B13" s="106">
        <f>Boulder!B13+UCCS!B13+Denver!B13+Anschutz!B13</f>
        <v>108309234.4</v>
      </c>
      <c r="C13" s="106">
        <f>Boulder!C13+UCCS!C13+Denver!C13+Anschutz!C13</f>
        <v>104835222</v>
      </c>
      <c r="D13" s="168">
        <f>Boulder!D13+UCCS!D13+Denver!D13+Anschutz!D13</f>
        <v>45979506</v>
      </c>
      <c r="E13" s="170">
        <f>Boulder!E13+UCCS!E13+Denver!E13+Anschutz!E13</f>
        <v>61035529</v>
      </c>
      <c r="F13" s="169">
        <f>Boulder!F13+UCCS!F13+Denver!F13+Anschutz!F13</f>
        <v>0</v>
      </c>
      <c r="G13" s="106">
        <f t="shared" si="0"/>
        <v>107015035</v>
      </c>
    </row>
    <row r="14" spans="1:16" s="108" customFormat="1" ht="17.25" customHeight="1">
      <c r="A14" s="151" t="s">
        <v>18</v>
      </c>
      <c r="B14" s="150">
        <f>SUM(B9:B13)</f>
        <v>1033743702.8</v>
      </c>
      <c r="C14" s="145">
        <f>SUM(C9:C13)</f>
        <v>1050909187</v>
      </c>
      <c r="D14" s="148">
        <f>SUM(D9:D13)</f>
        <v>979520818</v>
      </c>
      <c r="E14" s="147">
        <f>SUM(E9:E13)</f>
        <v>127531406</v>
      </c>
      <c r="F14" s="147">
        <f>SUM(F9:F13)</f>
        <v>0</v>
      </c>
      <c r="G14" s="150">
        <f t="shared" si="0"/>
        <v>1107052224</v>
      </c>
      <c r="N14" s="90"/>
      <c r="O14" s="90"/>
      <c r="P14" s="90"/>
    </row>
    <row r="15" spans="1:7" ht="17.25" customHeight="1">
      <c r="A15" s="107" t="s">
        <v>19</v>
      </c>
      <c r="B15" s="106">
        <f>Boulder!B15+UCCS!B15+Denver!B15+Anschutz!B15</f>
        <v>11238869</v>
      </c>
      <c r="C15" s="106">
        <f>Boulder!C15+UCCS!C15+Denver!C15+Anschutz!C15</f>
        <v>12812938</v>
      </c>
      <c r="D15" s="168">
        <f>Boulder!D15+UCCS!D15+Denver!D15+Anschutz!D15</f>
        <v>0</v>
      </c>
      <c r="E15" s="183">
        <f>Boulder!E15+UCCS!E15+Denver!E15+Anschutz!E15</f>
        <v>9020476</v>
      </c>
      <c r="F15" s="184">
        <f>Boulder!F15+UCCS!F15+Denver!F15+Anschutz!F15</f>
        <v>3520675</v>
      </c>
      <c r="G15" s="106">
        <f>SUM(D15:F15)</f>
        <v>12541151</v>
      </c>
    </row>
    <row r="16" spans="1:15" ht="17.25" customHeight="1">
      <c r="A16" s="107" t="s">
        <v>20</v>
      </c>
      <c r="B16" s="106"/>
      <c r="C16" s="106"/>
      <c r="D16" s="168"/>
      <c r="E16" s="183"/>
      <c r="F16" s="184"/>
      <c r="G16" s="106"/>
      <c r="O16" s="36"/>
    </row>
    <row r="17" spans="1:15" ht="17.25" customHeight="1">
      <c r="A17" s="124" t="s">
        <v>21</v>
      </c>
      <c r="B17" s="106">
        <f>Boulder!B17+UCCS!B17+Denver!B17+Anschutz!B17</f>
        <v>538161123</v>
      </c>
      <c r="C17" s="106">
        <f>Boulder!C17+UCCS!C17+Denver!C17+Anschutz!C17</f>
        <v>545922033</v>
      </c>
      <c r="D17" s="168">
        <f>Boulder!D17+UCCS!D17+Denver!D17+Anschutz!D17</f>
        <v>0</v>
      </c>
      <c r="E17" s="183">
        <f>Boulder!E17+UCCS!E17+Denver!E17+Anschutz!E17</f>
        <v>0</v>
      </c>
      <c r="F17" s="184">
        <f>Boulder!F17+UCCS!F17+Denver!F17+Anschutz!F17</f>
        <v>550726461</v>
      </c>
      <c r="G17" s="106">
        <f t="shared" si="0"/>
        <v>550726461</v>
      </c>
      <c r="O17" s="36"/>
    </row>
    <row r="18" spans="1:15" ht="17.25" customHeight="1">
      <c r="A18" s="124" t="s">
        <v>22</v>
      </c>
      <c r="B18" s="106">
        <f>Boulder!B18+UCCS!B18+Denver!B18+Anschutz!B18</f>
        <v>44711878</v>
      </c>
      <c r="C18" s="106">
        <f>Boulder!C18+UCCS!C18+Denver!C18+Anschutz!C18</f>
        <v>48027871</v>
      </c>
      <c r="D18" s="168">
        <f>Boulder!D18+UCCS!D18+Denver!D18+Anschutz!D18</f>
        <v>0</v>
      </c>
      <c r="E18" s="183">
        <f>Boulder!E18+UCCS!E18+Denver!E18+Anschutz!E18</f>
        <v>0</v>
      </c>
      <c r="F18" s="184">
        <f>Boulder!F18+UCCS!F18+Denver!F18+Anschutz!F18</f>
        <v>53972781</v>
      </c>
      <c r="G18" s="106">
        <f t="shared" si="0"/>
        <v>53972781</v>
      </c>
      <c r="J18" s="36"/>
      <c r="K18" s="181"/>
      <c r="O18" s="36"/>
    </row>
    <row r="19" spans="1:15" ht="17.25" customHeight="1">
      <c r="A19" s="124" t="s">
        <v>23</v>
      </c>
      <c r="B19" s="106">
        <f>Boulder!B19+UCCS!B19+Denver!B19+Anschutz!B19</f>
        <v>13251670</v>
      </c>
      <c r="C19" s="106">
        <f>Boulder!C19+UCCS!C19+Denver!C19+Anschutz!C19</f>
        <v>13007869</v>
      </c>
      <c r="D19" s="168">
        <f>Boulder!D19+UCCS!D19+Denver!D19+Anschutz!D19</f>
        <v>12500677</v>
      </c>
      <c r="E19" s="183">
        <f>Boulder!E19+UCCS!E19+Denver!E19+Anschutz!E19</f>
        <v>0</v>
      </c>
      <c r="F19" s="184">
        <f>Boulder!F19+UCCS!F19+Denver!F19+Anschutz!F19</f>
        <v>0</v>
      </c>
      <c r="G19" s="106">
        <f t="shared" si="0"/>
        <v>12500677</v>
      </c>
      <c r="K19" s="181"/>
      <c r="O19" s="36"/>
    </row>
    <row r="20" spans="1:15" ht="17.25" customHeight="1">
      <c r="A20" s="121" t="s">
        <v>24</v>
      </c>
      <c r="B20" s="106">
        <f>Boulder!B20+UCCS!B20+Denver!B20+Anschutz!B20</f>
        <v>105713205</v>
      </c>
      <c r="C20" s="106">
        <f>Boulder!C20+UCCS!C20+Denver!C20+Anschutz!C20</f>
        <v>104834749</v>
      </c>
      <c r="D20" s="168">
        <f>Boulder!D20+UCCS!D20+Denver!D20+Anschutz!D20</f>
        <v>123369252</v>
      </c>
      <c r="E20" s="183">
        <f>Boulder!E20+UCCS!E20+Denver!E20+Anschutz!E20</f>
        <v>0</v>
      </c>
      <c r="F20" s="184">
        <f>Boulder!F20+UCCS!F20+Denver!F20+Anschutz!F20</f>
        <v>0</v>
      </c>
      <c r="G20" s="106">
        <f t="shared" si="0"/>
        <v>123369252</v>
      </c>
      <c r="J20" s="36"/>
      <c r="K20" s="181"/>
      <c r="O20" s="36"/>
    </row>
    <row r="21" spans="1:16" s="108" customFormat="1" ht="17.25" customHeight="1">
      <c r="A21" s="151" t="s">
        <v>25</v>
      </c>
      <c r="B21" s="150">
        <f>SUM(B15:B20)</f>
        <v>713076745</v>
      </c>
      <c r="C21" s="145">
        <f>SUM(C15:C20)</f>
        <v>724605460</v>
      </c>
      <c r="D21" s="148">
        <f>SUM(D15:D20)</f>
        <v>135869929</v>
      </c>
      <c r="E21" s="185">
        <f>SUM(E15:E20)</f>
        <v>9020476</v>
      </c>
      <c r="F21" s="185">
        <f>SUM(F15:F20)</f>
        <v>608219917</v>
      </c>
      <c r="G21" s="150">
        <f t="shared" si="0"/>
        <v>753110322</v>
      </c>
      <c r="I21" s="90"/>
      <c r="J21" s="36"/>
      <c r="K21" s="181"/>
      <c r="N21" s="90"/>
      <c r="O21" s="90"/>
      <c r="P21" s="90"/>
    </row>
    <row r="22" spans="1:11" ht="17.25" customHeight="1">
      <c r="A22" s="107" t="s">
        <v>26</v>
      </c>
      <c r="B22" s="106">
        <f>Boulder!B22+UCCS!B22+Denver!B22+Anschutz!B22</f>
        <v>220581393</v>
      </c>
      <c r="C22" s="106">
        <f>Boulder!C22+UCCS!C22+Denver!C22+Anschutz!C22</f>
        <v>242358897</v>
      </c>
      <c r="D22" s="168">
        <f>Boulder!D22+UCCS!D22+Denver!D22+Anschutz!D22</f>
        <v>0</v>
      </c>
      <c r="E22" s="183">
        <f>Boulder!E22+UCCS!E22+Denver!E22+Anschutz!E22</f>
        <v>0</v>
      </c>
      <c r="F22" s="184">
        <f>Boulder!F22+UCCS!F22+Denver!F22+Anschutz!F22</f>
        <v>265322895</v>
      </c>
      <c r="G22" s="106">
        <f t="shared" si="0"/>
        <v>265322895</v>
      </c>
      <c r="J22" s="36"/>
      <c r="K22" s="181"/>
    </row>
    <row r="23" spans="1:15" ht="17.25" customHeight="1">
      <c r="A23" s="107" t="s">
        <v>27</v>
      </c>
      <c r="B23" s="106">
        <f>Boulder!B23+UCCS!B23+Denver!B23+Anschutz!B23</f>
        <v>180404163</v>
      </c>
      <c r="C23" s="106">
        <f>Boulder!C23+UCCS!C23+Denver!C23+Anschutz!C23</f>
        <v>191213302</v>
      </c>
      <c r="D23" s="168">
        <f>Boulder!D23+UCCS!D23+Denver!D23+Anschutz!D23</f>
        <v>0</v>
      </c>
      <c r="E23" s="183">
        <f>Boulder!E23+UCCS!E23+Denver!E23+Anschutz!E23</f>
        <v>196521554</v>
      </c>
      <c r="F23" s="184">
        <f>Boulder!F23+UCCS!F23+Denver!F23+Anschutz!F23</f>
        <v>0</v>
      </c>
      <c r="G23" s="106">
        <f t="shared" si="0"/>
        <v>196521554</v>
      </c>
      <c r="O23" s="182"/>
    </row>
    <row r="24" spans="1:15" ht="17.25" customHeight="1">
      <c r="A24" s="107" t="s">
        <v>28</v>
      </c>
      <c r="B24" s="106">
        <f>Boulder!B24+UCCS!B24+Denver!B24+Anschutz!B24</f>
        <v>240477273</v>
      </c>
      <c r="C24" s="106">
        <f>Boulder!C24+UCCS!C24+Denver!C24+Anschutz!C24</f>
        <v>238197311</v>
      </c>
      <c r="D24" s="168">
        <f>Boulder!D24+UCCS!D24+Denver!D24+Anschutz!D24</f>
        <v>0</v>
      </c>
      <c r="E24" s="183">
        <f>Boulder!E24+UCCS!E24+Denver!E24+Anschutz!E24</f>
        <v>252513937</v>
      </c>
      <c r="F24" s="184">
        <f>Boulder!F24+UCCS!F24+Denver!F24+Anschutz!F24</f>
        <v>0</v>
      </c>
      <c r="G24" s="106">
        <f t="shared" si="0"/>
        <v>252513937</v>
      </c>
      <c r="O24" s="182"/>
    </row>
    <row r="25" spans="1:15" ht="17.25" customHeight="1">
      <c r="A25" s="107" t="s">
        <v>29</v>
      </c>
      <c r="B25" s="106">
        <f>Boulder!B25+UCCS!B25+Denver!B25+Anschutz!B25</f>
        <v>673019221</v>
      </c>
      <c r="C25" s="106">
        <f>Boulder!C25+UCCS!C25+Denver!C25+Anschutz!C25</f>
        <v>691036187</v>
      </c>
      <c r="D25" s="168">
        <f>Boulder!D25+UCCS!D25+Denver!D25+Anschutz!D25</f>
        <v>1950000</v>
      </c>
      <c r="E25" s="183">
        <f>Boulder!E25+UCCS!E25+Denver!E25+Anschutz!E25</f>
        <v>736430984</v>
      </c>
      <c r="F25" s="184">
        <f>Boulder!F25+UCCS!F25+Denver!F25+Anschutz!F25</f>
        <v>0</v>
      </c>
      <c r="G25" s="106">
        <f t="shared" si="0"/>
        <v>738380984</v>
      </c>
      <c r="O25" s="182"/>
    </row>
    <row r="26" spans="1:15" ht="17.25" customHeight="1">
      <c r="A26" s="107" t="s">
        <v>30</v>
      </c>
      <c r="B26" s="106">
        <f>Boulder!B26+UCCS!B26+Denver!B26+Anschutz!B26</f>
        <v>0</v>
      </c>
      <c r="C26" s="106">
        <f>Boulder!C26+UCCS!C26+Denver!C26+Anschutz!C26</f>
        <v>0</v>
      </c>
      <c r="D26" s="168">
        <f>Boulder!D26+UCCS!D26+Denver!D26+Anschutz!D26</f>
        <v>0</v>
      </c>
      <c r="E26" s="183">
        <f>Boulder!E26+UCCS!E26+Denver!E26+Anschutz!E26</f>
        <v>0</v>
      </c>
      <c r="F26" s="184">
        <f>Boulder!F26+UCCS!F26+Denver!F26+Anschutz!F26</f>
        <v>0</v>
      </c>
      <c r="G26" s="106"/>
      <c r="O26" s="182"/>
    </row>
    <row r="27" spans="1:15" ht="17.25" customHeight="1">
      <c r="A27" s="124" t="s">
        <v>31</v>
      </c>
      <c r="B27" s="106">
        <f>Boulder!B27+UCCS!B27+Denver!B27+Anschutz!B27</f>
        <v>158887188</v>
      </c>
      <c r="C27" s="106">
        <f>Boulder!C27+UCCS!C27+Denver!C27+Anschutz!C27</f>
        <v>161527064</v>
      </c>
      <c r="D27" s="168">
        <f>Boulder!D27+UCCS!D27+Denver!D27+Anschutz!D27</f>
        <v>124251959</v>
      </c>
      <c r="E27" s="183">
        <f>Boulder!E27+UCCS!E27+Denver!E27+Anschutz!E27</f>
        <v>43312354</v>
      </c>
      <c r="F27" s="184">
        <f>Boulder!F27+UCCS!F27+Denver!F27+Anschutz!F27</f>
        <v>0</v>
      </c>
      <c r="G27" s="106">
        <f t="shared" si="0"/>
        <v>167564313</v>
      </c>
      <c r="O27" s="182"/>
    </row>
    <row r="28" spans="1:7" ht="17.25" customHeight="1">
      <c r="A28" s="124" t="s">
        <v>32</v>
      </c>
      <c r="B28" s="106">
        <f>Boulder!B28+UCCS!B28+Denver!B28+Anschutz!B28</f>
        <v>4978873</v>
      </c>
      <c r="C28" s="106">
        <f>Boulder!C28+UCCS!C28+Denver!C28+Anschutz!C28</f>
        <v>4978873</v>
      </c>
      <c r="D28" s="168">
        <f>Boulder!D28+UCCS!D28+Denver!D28+Anschutz!D28</f>
        <v>5080236</v>
      </c>
      <c r="E28" s="183">
        <f>Boulder!E28+UCCS!E28+Denver!E28+Anschutz!E28</f>
        <v>0</v>
      </c>
      <c r="F28" s="184">
        <f>Boulder!F28+UCCS!F28+Denver!F28+Anschutz!F28</f>
        <v>0</v>
      </c>
      <c r="G28" s="106">
        <f t="shared" si="0"/>
        <v>5080236</v>
      </c>
    </row>
    <row r="29" spans="1:7" ht="17.25" customHeight="1" thickBot="1">
      <c r="A29" s="144" t="s">
        <v>33</v>
      </c>
      <c r="B29" s="106">
        <f>Boulder!B29+UCCS!B29+Denver!B29+Anschutz!B29</f>
        <v>59682357</v>
      </c>
      <c r="C29" s="106">
        <f>Boulder!C29+UCCS!C29+Denver!C29+Anschutz!C29</f>
        <v>53574126</v>
      </c>
      <c r="D29" s="168">
        <f>Boulder!D29+UCCS!D29+Denver!D29+Anschutz!D29</f>
        <v>28522760</v>
      </c>
      <c r="E29" s="186">
        <f>Boulder!E29+UCCS!E29+Denver!E29+Anschutz!E29</f>
        <v>38248241</v>
      </c>
      <c r="F29" s="184">
        <f>Boulder!F29+UCCS!F29+Denver!F29+Anschutz!F29</f>
        <v>1109551</v>
      </c>
      <c r="G29" s="106">
        <f t="shared" si="0"/>
        <v>67880552</v>
      </c>
    </row>
    <row r="30" spans="1:16" s="108" customFormat="1" ht="17.25" customHeight="1" thickTop="1">
      <c r="A30" s="133" t="s">
        <v>34</v>
      </c>
      <c r="B30" s="132">
        <f>B14+B21+SUM(B22:B29)</f>
        <v>3284850915.8</v>
      </c>
      <c r="C30" s="109">
        <f>C14+C21+SUM(C22:C29)</f>
        <v>3358400407</v>
      </c>
      <c r="D30" s="141">
        <f>D14+D21+SUM(D22:D29)</f>
        <v>1275195702</v>
      </c>
      <c r="E30" s="110">
        <f>E14+E21+SUM(E22:E29)</f>
        <v>1403578952</v>
      </c>
      <c r="F30" s="140">
        <f>F14+F21+SUM(F22:F29)</f>
        <v>874652363</v>
      </c>
      <c r="G30" s="132">
        <f t="shared" si="0"/>
        <v>3553427017</v>
      </c>
      <c r="J30" s="195"/>
      <c r="N30" s="90"/>
      <c r="O30" s="182"/>
      <c r="P30" s="90"/>
    </row>
    <row r="31" spans="1:15" ht="17.25" customHeight="1">
      <c r="A31" s="107"/>
      <c r="B31" s="106"/>
      <c r="C31" s="102"/>
      <c r="D31" s="123"/>
      <c r="E31" s="122"/>
      <c r="F31" s="122"/>
      <c r="G31" s="106"/>
      <c r="O31" s="182"/>
    </row>
    <row r="32" spans="1:15" ht="17.25" customHeight="1">
      <c r="A32" s="131" t="s">
        <v>35</v>
      </c>
      <c r="B32" s="130"/>
      <c r="C32" s="102"/>
      <c r="D32" s="123"/>
      <c r="E32" s="122"/>
      <c r="F32" s="122"/>
      <c r="G32" s="106"/>
      <c r="O32" s="182"/>
    </row>
    <row r="33" spans="1:15" ht="17.25" customHeight="1">
      <c r="A33" s="107" t="s">
        <v>36</v>
      </c>
      <c r="B33" s="106"/>
      <c r="C33" s="102"/>
      <c r="D33" s="123"/>
      <c r="E33" s="122"/>
      <c r="F33" s="122"/>
      <c r="G33" s="106"/>
      <c r="O33" s="182"/>
    </row>
    <row r="34" spans="1:15" ht="17.25" customHeight="1">
      <c r="A34" s="187" t="s">
        <v>37</v>
      </c>
      <c r="B34" s="106">
        <f>Boulder!B34+UCCS!B34+Denver!B34+Anschutz!B34</f>
        <v>889833546</v>
      </c>
      <c r="C34" s="106">
        <f>Boulder!C34+UCCS!C34+Denver!C34+Anschutz!C34</f>
        <v>941140881</v>
      </c>
      <c r="D34" s="168">
        <f>Boulder!D34+UCCS!D34+Denver!D34+Anschutz!D34</f>
        <v>614583704</v>
      </c>
      <c r="E34" s="170">
        <f>Boulder!E34+UCCS!E34+Denver!E34+Anschutz!E34</f>
        <v>209940214</v>
      </c>
      <c r="F34" s="169">
        <f>Boulder!F34+UCCS!F34+Denver!F34+Anschutz!F34</f>
        <v>147995438</v>
      </c>
      <c r="G34" s="106">
        <f t="shared" si="0"/>
        <v>972519356</v>
      </c>
      <c r="J34" s="36"/>
      <c r="O34" s="182"/>
    </row>
    <row r="35" spans="1:15" ht="17.25" customHeight="1">
      <c r="A35" s="187" t="s">
        <v>38</v>
      </c>
      <c r="B35" s="106">
        <f>Boulder!B35+UCCS!B35+Denver!B35+Anschutz!B35</f>
        <v>525193839</v>
      </c>
      <c r="C35" s="106">
        <f>Boulder!C35+UCCS!C35+Denver!C35+Anschutz!C35</f>
        <v>536634972</v>
      </c>
      <c r="D35" s="168">
        <f>Boulder!D35+UCCS!D35+Denver!D35+Anschutz!D35</f>
        <v>5892707</v>
      </c>
      <c r="E35" s="170">
        <f>Boulder!E35+UCCS!E35+Denver!E35+Anschutz!E35</f>
        <v>767710</v>
      </c>
      <c r="F35" s="169">
        <f>Boulder!F35+UCCS!F35+Denver!F35+Anschutz!F35</f>
        <v>537963795</v>
      </c>
      <c r="G35" s="106">
        <f t="shared" si="0"/>
        <v>544624212</v>
      </c>
      <c r="J35" s="36"/>
      <c r="O35" s="182"/>
    </row>
    <row r="36" spans="1:15" ht="17.25" customHeight="1">
      <c r="A36" s="187" t="s">
        <v>39</v>
      </c>
      <c r="B36" s="106">
        <f>Boulder!B36+UCCS!B36+Denver!B36+Anschutz!B36</f>
        <v>107976467</v>
      </c>
      <c r="C36" s="106">
        <f>Boulder!C36+UCCS!C36+Denver!C36+Anschutz!C36</f>
        <v>95888204</v>
      </c>
      <c r="D36" s="168">
        <f>Boulder!D36+UCCS!D36+Denver!D36+Anschutz!D36</f>
        <v>1691550</v>
      </c>
      <c r="E36" s="170">
        <f>Boulder!E36+UCCS!E36+Denver!E36+Anschutz!E36</f>
        <v>69593495</v>
      </c>
      <c r="F36" s="169">
        <f>Boulder!F36+UCCS!F36+Denver!F36+Anschutz!F36</f>
        <v>26503422</v>
      </c>
      <c r="G36" s="106">
        <f t="shared" si="0"/>
        <v>97788467</v>
      </c>
      <c r="J36" s="36"/>
      <c r="O36" s="182"/>
    </row>
    <row r="37" spans="1:15" ht="17.25" customHeight="1">
      <c r="A37" s="187" t="s">
        <v>40</v>
      </c>
      <c r="B37" s="106">
        <f>Boulder!B37+UCCS!B37+Denver!B37+Anschutz!B37</f>
        <v>191835776</v>
      </c>
      <c r="C37" s="106">
        <f>Boulder!C37+UCCS!C37+Denver!C37+Anschutz!C37</f>
        <v>190850494</v>
      </c>
      <c r="D37" s="168">
        <f>Boulder!D37+UCCS!D37+Denver!D37+Anschutz!D37</f>
        <v>175810752</v>
      </c>
      <c r="E37" s="170">
        <f>Boulder!E37+UCCS!E37+Denver!E37+Anschutz!E37</f>
        <v>10142585</v>
      </c>
      <c r="F37" s="169">
        <f>Boulder!F37+UCCS!F37+Denver!F37+Anschutz!F37</f>
        <v>5259701</v>
      </c>
      <c r="G37" s="106">
        <f t="shared" si="0"/>
        <v>191213038</v>
      </c>
      <c r="J37" s="36"/>
      <c r="O37" s="182"/>
    </row>
    <row r="38" spans="1:15" ht="17.25" customHeight="1">
      <c r="A38" s="187" t="s">
        <v>41</v>
      </c>
      <c r="B38" s="106">
        <f>Boulder!B38+UCCS!B38+Denver!B38+Anschutz!B38</f>
        <v>112009215</v>
      </c>
      <c r="C38" s="106">
        <f>Boulder!C38+UCCS!C38+Denver!C38+Anschutz!C38</f>
        <v>117146741</v>
      </c>
      <c r="D38" s="168">
        <f>Boulder!D38+UCCS!D38+Denver!D38+Anschutz!D38</f>
        <v>61821879</v>
      </c>
      <c r="E38" s="170">
        <f>Boulder!E38+UCCS!E38+Denver!E38+Anschutz!E38</f>
        <v>59234918</v>
      </c>
      <c r="F38" s="169">
        <f>Boulder!F38+UCCS!F38+Denver!F38+Anschutz!F38</f>
        <v>2289278</v>
      </c>
      <c r="G38" s="106">
        <f t="shared" si="0"/>
        <v>123346075</v>
      </c>
      <c r="J38" s="36"/>
      <c r="O38" s="182"/>
    </row>
    <row r="39" spans="1:15" ht="17.25" customHeight="1">
      <c r="A39" s="187" t="s">
        <v>42</v>
      </c>
      <c r="B39" s="106">
        <f>Boulder!B39+UCCS!B39+Denver!B39+Anschutz!B39</f>
        <v>127645668</v>
      </c>
      <c r="C39" s="106">
        <f>Boulder!C39+UCCS!C39+Denver!C39+Anschutz!C39</f>
        <v>146200304</v>
      </c>
      <c r="D39" s="168">
        <f>Boulder!D39+UCCS!D39+Denver!D39+Anschutz!D39</f>
        <v>119590332</v>
      </c>
      <c r="E39" s="170">
        <f>Boulder!E39+UCCS!E39+Denver!E39+Anschutz!E39</f>
        <v>6559687</v>
      </c>
      <c r="F39" s="169">
        <f>Boulder!F39+UCCS!F39+Denver!F39+Anschutz!F39</f>
        <v>23089096</v>
      </c>
      <c r="G39" s="106">
        <f t="shared" si="0"/>
        <v>149239115</v>
      </c>
      <c r="J39" s="36"/>
      <c r="O39" s="182"/>
    </row>
    <row r="40" spans="1:15" ht="17.25" customHeight="1">
      <c r="A40" s="187" t="s">
        <v>43</v>
      </c>
      <c r="B40" s="106">
        <f>Boulder!B40+UCCS!B40+Denver!B40+Anschutz!B40</f>
        <v>135257611</v>
      </c>
      <c r="C40" s="106">
        <f>Boulder!C40+UCCS!C40+Denver!C40+Anschutz!C40</f>
        <v>144827173</v>
      </c>
      <c r="D40" s="168">
        <f>Boulder!D40+UCCS!D40+Denver!D40+Anschutz!D40</f>
        <v>123984184</v>
      </c>
      <c r="E40" s="170">
        <f>Boulder!E40+UCCS!E40+Denver!E40+Anschutz!E40</f>
        <v>19532526</v>
      </c>
      <c r="F40" s="169">
        <f>Boulder!F40+UCCS!F40+Denver!F40+Anschutz!F40</f>
        <v>6302275</v>
      </c>
      <c r="G40" s="106">
        <f t="shared" si="0"/>
        <v>149818985</v>
      </c>
      <c r="J40" s="36"/>
      <c r="O40" s="182"/>
    </row>
    <row r="41" spans="1:15" ht="17.25" customHeight="1">
      <c r="A41" s="187" t="s">
        <v>44</v>
      </c>
      <c r="B41" s="106">
        <f>Boulder!B41+UCCS!B41+Denver!B41+Anschutz!B41</f>
        <v>189261636</v>
      </c>
      <c r="C41" s="106">
        <f>Boulder!C41+UCCS!C41+Denver!C41+Anschutz!C41</f>
        <v>189309527</v>
      </c>
      <c r="D41" s="168">
        <f>Boulder!D41+UCCS!D41+Denver!D41+Anschutz!D41</f>
        <v>78244711</v>
      </c>
      <c r="E41" s="170">
        <f>Boulder!E41+UCCS!E41+Denver!E41+Anschutz!E41</f>
        <v>13457823</v>
      </c>
      <c r="F41" s="169">
        <f>Boulder!F41+UCCS!F41+Denver!F41+Anschutz!F41</f>
        <v>118403902</v>
      </c>
      <c r="G41" s="106">
        <f t="shared" si="0"/>
        <v>210106436</v>
      </c>
      <c r="J41" s="36"/>
      <c r="O41" s="182"/>
    </row>
    <row r="42" spans="1:10" ht="17.25" customHeight="1">
      <c r="A42" s="107" t="s">
        <v>45</v>
      </c>
      <c r="B42" s="106">
        <f>Boulder!B42+UCCS!B42+Denver!B42+Anschutz!B42</f>
        <v>215635666</v>
      </c>
      <c r="C42" s="106">
        <f>Boulder!C42+UCCS!C42+Denver!C42+Anschutz!C42</f>
        <v>217082902</v>
      </c>
      <c r="D42" s="168">
        <f>Boulder!D42+UCCS!D42+Denver!D42+Anschutz!D42</f>
        <v>0</v>
      </c>
      <c r="E42" s="170">
        <f>Boulder!E42+UCCS!E42+Denver!E42+Anschutz!E42</f>
        <v>217418296</v>
      </c>
      <c r="F42" s="169">
        <f>Boulder!F42+UCCS!F42+Denver!F42+Anschutz!F42</f>
        <v>10578252</v>
      </c>
      <c r="G42" s="106">
        <f t="shared" si="0"/>
        <v>227996548</v>
      </c>
      <c r="J42" s="36"/>
    </row>
    <row r="43" spans="1:10" ht="17.25" customHeight="1">
      <c r="A43" s="107" t="s">
        <v>29</v>
      </c>
      <c r="B43" s="106">
        <f>Boulder!B43+UCCS!B43+Denver!B43+Anschutz!B43</f>
        <v>595664340</v>
      </c>
      <c r="C43" s="106">
        <f>Boulder!C43+UCCS!C43+Denver!C43+Anschutz!C43</f>
        <v>587933485</v>
      </c>
      <c r="D43" s="168">
        <f>Boulder!D43+UCCS!D43+Denver!D43+Anschutz!D43</f>
        <v>0</v>
      </c>
      <c r="E43" s="170">
        <f>Boulder!E43+UCCS!E43+Denver!E43+Anschutz!E43</f>
        <v>692101348</v>
      </c>
      <c r="F43" s="169">
        <f>Boulder!F43+UCCS!F43+Denver!F43+Anschutz!F43</f>
        <v>69278</v>
      </c>
      <c r="G43" s="106">
        <f t="shared" si="0"/>
        <v>692170626</v>
      </c>
      <c r="J43" s="36"/>
    </row>
    <row r="44" spans="1:10" ht="17.25" customHeight="1" thickBot="1">
      <c r="A44" s="137" t="s">
        <v>46</v>
      </c>
      <c r="B44" s="106">
        <f>Boulder!B44+UCCS!B44+Denver!B44+Anschutz!B44</f>
        <v>0</v>
      </c>
      <c r="C44" s="106">
        <f>Boulder!C44+UCCS!C44+Denver!C44+Anschutz!C44</f>
        <v>0</v>
      </c>
      <c r="D44" s="168">
        <f>Boulder!D44+UCCS!D44+Denver!D44+Anschutz!D44</f>
        <v>0</v>
      </c>
      <c r="E44" s="171">
        <f>Boulder!E44+UCCS!E44+Denver!E44+Anschutz!E44</f>
        <v>0</v>
      </c>
      <c r="F44" s="169">
        <f>Boulder!F44+UCCS!F44+Denver!F44+Anschutz!F44</f>
        <v>0</v>
      </c>
      <c r="G44" s="190">
        <f t="shared" si="0"/>
        <v>0</v>
      </c>
      <c r="J44" s="36"/>
    </row>
    <row r="45" spans="1:10" s="108" customFormat="1" ht="17.25" customHeight="1" thickTop="1">
      <c r="A45" s="133" t="s">
        <v>47</v>
      </c>
      <c r="B45" s="132">
        <f>SUM(B34:B44)</f>
        <v>3090313764</v>
      </c>
      <c r="C45" s="109">
        <f>SUM(C34:C44)</f>
        <v>3167014683</v>
      </c>
      <c r="D45" s="141">
        <f>SUM(D34:D44)</f>
        <v>1181619819</v>
      </c>
      <c r="E45" s="110">
        <f>SUM(E34:E44)</f>
        <v>1298748602</v>
      </c>
      <c r="F45" s="140">
        <f>SUM(F34:F44)</f>
        <v>878454437</v>
      </c>
      <c r="G45" s="132">
        <f t="shared" si="0"/>
        <v>3358822858</v>
      </c>
      <c r="I45" s="90"/>
      <c r="J45" s="36"/>
    </row>
    <row r="46" spans="1:7" ht="17.25" customHeight="1">
      <c r="A46" s="107"/>
      <c r="B46" s="106"/>
      <c r="C46" s="102"/>
      <c r="D46" s="123"/>
      <c r="E46" s="122"/>
      <c r="F46" s="122"/>
      <c r="G46" s="106"/>
    </row>
    <row r="47" spans="1:14" ht="17.25" customHeight="1">
      <c r="A47" s="131" t="s">
        <v>48</v>
      </c>
      <c r="B47" s="130"/>
      <c r="C47" s="102"/>
      <c r="D47" s="123"/>
      <c r="E47" s="122"/>
      <c r="F47" s="122"/>
      <c r="G47" s="106"/>
      <c r="I47" s="36"/>
      <c r="N47" s="108"/>
    </row>
    <row r="48" spans="1:14" ht="17.25" customHeight="1">
      <c r="A48" s="107" t="s">
        <v>49</v>
      </c>
      <c r="B48" s="106"/>
      <c r="C48" s="102"/>
      <c r="D48" s="123"/>
      <c r="E48" s="122"/>
      <c r="F48" s="122"/>
      <c r="G48" s="106"/>
      <c r="N48" s="108"/>
    </row>
    <row r="49" spans="1:14" ht="17.25" customHeight="1">
      <c r="A49" s="124" t="s">
        <v>50</v>
      </c>
      <c r="B49" s="106">
        <f>Boulder!B49+UCCS!B49+Denver!B49+Anschutz!B49</f>
        <v>116062513.4</v>
      </c>
      <c r="C49" s="106">
        <f>Boulder!C49+UCCS!C49+Denver!C49+Anschutz!C49</f>
        <v>113189517</v>
      </c>
      <c r="D49" s="168">
        <f>Boulder!D49+UCCS!D49+Denver!D49+Anschutz!D49</f>
        <v>13192003</v>
      </c>
      <c r="E49" s="170">
        <f>Boulder!E49+UCCS!E49+Denver!E49+Anschutz!E49</f>
        <v>93508252</v>
      </c>
      <c r="F49" s="169">
        <f>Boulder!F49+UCCS!F49+Denver!F49+Anschutz!F49</f>
        <v>4961477</v>
      </c>
      <c r="G49" s="106">
        <f t="shared" si="0"/>
        <v>111661732</v>
      </c>
      <c r="N49" s="108"/>
    </row>
    <row r="50" spans="1:7" ht="17.25" customHeight="1">
      <c r="A50" s="124" t="s">
        <v>51</v>
      </c>
      <c r="B50" s="106">
        <f>Boulder!B50+UCCS!B50+Denver!B50+Anschutz!B50</f>
        <v>0</v>
      </c>
      <c r="C50" s="106">
        <f>Boulder!C50+UCCS!C50+Denver!C50+Anschutz!C50</f>
        <v>0</v>
      </c>
      <c r="D50" s="168">
        <f>Boulder!D50+UCCS!D50+Denver!D50+Anschutz!D50</f>
        <v>0</v>
      </c>
      <c r="E50" s="170">
        <f>Boulder!E50+UCCS!E50+Denver!E50+Anschutz!E50</f>
        <v>0</v>
      </c>
      <c r="F50" s="169">
        <f>Boulder!F50+UCCS!F50+Denver!F50+Anschutz!F50</f>
        <v>0</v>
      </c>
      <c r="G50" s="106">
        <f t="shared" si="0"/>
        <v>0</v>
      </c>
    </row>
    <row r="51" spans="1:7" ht="17.25" customHeight="1">
      <c r="A51" s="121" t="s">
        <v>52</v>
      </c>
      <c r="B51" s="106">
        <f>Boulder!B51+UCCS!B51+Denver!B51+Anschutz!B51</f>
        <v>0</v>
      </c>
      <c r="C51" s="106">
        <f>Boulder!C51+UCCS!C51+Denver!C51+Anschutz!C51</f>
        <v>0</v>
      </c>
      <c r="D51" s="168">
        <f>Boulder!D51+UCCS!D51+Denver!D51+Anschutz!D51</f>
        <v>0</v>
      </c>
      <c r="E51" s="172">
        <f>Boulder!E51+UCCS!E51+Denver!E51+Anschutz!E51</f>
        <v>0</v>
      </c>
      <c r="F51" s="169">
        <f>Boulder!F51+UCCS!F51+Denver!F51+Anschutz!F51</f>
        <v>0</v>
      </c>
      <c r="G51" s="106">
        <f t="shared" si="0"/>
        <v>0</v>
      </c>
    </row>
    <row r="52" spans="1:7" ht="17.25" customHeight="1">
      <c r="A52" s="129" t="s">
        <v>53</v>
      </c>
      <c r="B52" s="128">
        <f>SUM(B49:B51)</f>
        <v>116062513.4</v>
      </c>
      <c r="C52" s="125">
        <f>SUM(C49:C51)</f>
        <v>113189517</v>
      </c>
      <c r="D52" s="127">
        <f>SUM(D49:D51)</f>
        <v>13192003</v>
      </c>
      <c r="E52" s="117">
        <f>SUM(E49:E51)</f>
        <v>93508252</v>
      </c>
      <c r="F52" s="164">
        <f>SUM(F49:F51)</f>
        <v>4961477</v>
      </c>
      <c r="G52" s="128">
        <f t="shared" si="0"/>
        <v>111661732</v>
      </c>
    </row>
    <row r="53" spans="1:7" ht="17.25" customHeight="1">
      <c r="A53" s="107"/>
      <c r="B53" s="106"/>
      <c r="C53" s="102"/>
      <c r="D53" s="123"/>
      <c r="E53" s="122"/>
      <c r="F53" s="122"/>
      <c r="G53" s="106"/>
    </row>
    <row r="54" spans="1:7" ht="17.25" customHeight="1">
      <c r="A54" s="107" t="s">
        <v>54</v>
      </c>
      <c r="B54" s="106"/>
      <c r="C54" s="102"/>
      <c r="D54" s="123"/>
      <c r="E54" s="122"/>
      <c r="F54" s="122"/>
      <c r="G54" s="106"/>
    </row>
    <row r="55" spans="1:7" ht="30" customHeight="1">
      <c r="A55" s="193" t="s">
        <v>55</v>
      </c>
      <c r="B55" s="106">
        <f>Boulder!B55+UCCS!B55+Denver!B55+Anschutz!B55</f>
        <v>0</v>
      </c>
      <c r="C55" s="106">
        <f>Boulder!C55+UCCS!C55+Denver!C55+Anschutz!C55</f>
        <v>0</v>
      </c>
      <c r="D55" s="168">
        <f>Boulder!D55+UCCS!D55+Denver!D55+Anschutz!D55</f>
        <v>0</v>
      </c>
      <c r="E55" s="170">
        <f>Boulder!E55+UCCS!E55+Denver!E55+Anschutz!E55</f>
        <v>0</v>
      </c>
      <c r="F55" s="169">
        <f>Boulder!F55+UCCS!F55+Denver!F55+Anschutz!F55</f>
        <v>0</v>
      </c>
      <c r="G55" s="106">
        <f t="shared" si="0"/>
        <v>0</v>
      </c>
    </row>
    <row r="56" spans="1:7" ht="17.25" customHeight="1">
      <c r="A56" s="121" t="s">
        <v>46</v>
      </c>
      <c r="B56" s="106">
        <f>Boulder!B56+UCCS!B56+Denver!B56+Anschutz!B56</f>
        <v>78474638.4</v>
      </c>
      <c r="C56" s="106">
        <f>Boulder!C56+UCCS!C56+Denver!C56+Anschutz!C56</f>
        <v>78196207</v>
      </c>
      <c r="D56" s="173">
        <f>Boulder!D56+UCCS!D56+Denver!D56+Anschutz!D56</f>
        <v>80383880</v>
      </c>
      <c r="E56" s="172">
        <f>Boulder!E56+UCCS!E56+Denver!E56+Anschutz!E56</f>
        <v>11322098</v>
      </c>
      <c r="F56" s="174">
        <f>Boulder!F56+UCCS!F56+Denver!F56+Anschutz!F56</f>
        <v>-8763551</v>
      </c>
      <c r="G56" s="106">
        <f t="shared" si="0"/>
        <v>82942427</v>
      </c>
    </row>
    <row r="57" spans="1:7" ht="17.25" customHeight="1" thickBot="1">
      <c r="A57" s="116" t="s">
        <v>57</v>
      </c>
      <c r="B57" s="115">
        <f>SUM(B55:B56)</f>
        <v>78474638.4</v>
      </c>
      <c r="C57" s="115">
        <f>SUM(C55:C56)</f>
        <v>78196207</v>
      </c>
      <c r="D57" s="188">
        <f>SUM(D55:D56)</f>
        <v>80383880</v>
      </c>
      <c r="E57" s="189">
        <f>SUM(E55:E56)</f>
        <v>11322098</v>
      </c>
      <c r="F57" s="171">
        <f>SUM(F55:F56)</f>
        <v>-8763551</v>
      </c>
      <c r="G57" s="115">
        <f t="shared" si="0"/>
        <v>82942427</v>
      </c>
    </row>
    <row r="58" spans="1:7" s="108" customFormat="1" ht="17.25" customHeight="1" thickTop="1">
      <c r="A58" s="112" t="s">
        <v>58</v>
      </c>
      <c r="B58" s="111">
        <f>B45+B52+B57</f>
        <v>3284850915.8</v>
      </c>
      <c r="C58" s="111">
        <f>C45+C52+C57</f>
        <v>3358400407</v>
      </c>
      <c r="D58" s="191">
        <f>D45+D52+D57</f>
        <v>1275195702</v>
      </c>
      <c r="E58" s="192">
        <f>E45+E52+E57</f>
        <v>1403578952</v>
      </c>
      <c r="F58" s="192">
        <f>F45+F52+F57</f>
        <v>874652363</v>
      </c>
      <c r="G58" s="132">
        <f t="shared" si="0"/>
        <v>3553427017</v>
      </c>
    </row>
    <row r="59" spans="1:7" ht="17.25" customHeight="1">
      <c r="A59" s="107"/>
      <c r="B59" s="106"/>
      <c r="C59" s="102"/>
      <c r="D59" s="123"/>
      <c r="E59" s="122"/>
      <c r="F59" s="122"/>
      <c r="G59" s="106"/>
    </row>
    <row r="60" spans="1:7" ht="17.25" customHeight="1" thickBot="1">
      <c r="A60" s="101" t="s">
        <v>59</v>
      </c>
      <c r="B60" s="100">
        <f>B30-B58</f>
        <v>0</v>
      </c>
      <c r="C60" s="100">
        <f>C30-C58</f>
        <v>0</v>
      </c>
      <c r="D60" s="99">
        <f>D30-D58</f>
        <v>0</v>
      </c>
      <c r="E60" s="98">
        <f>E30-E58</f>
        <v>0</v>
      </c>
      <c r="F60" s="97">
        <f>F30-F58</f>
        <v>0</v>
      </c>
      <c r="G60" s="100">
        <f t="shared" si="0"/>
        <v>0</v>
      </c>
    </row>
  </sheetData>
  <sheetProtection/>
  <mergeCells count="3">
    <mergeCell ref="A5:A6"/>
    <mergeCell ref="B5:C5"/>
    <mergeCell ref="D5:G5"/>
  </mergeCells>
  <printOptions horizontalCentered="1"/>
  <pageMargins left="0.75" right="0.75" top="0.75" bottom="0.75" header="0.3" footer="0.3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51.7109375" style="90" customWidth="1"/>
    <col min="2" max="2" width="18.421875" style="90" customWidth="1"/>
    <col min="3" max="3" width="18.140625" style="90" customWidth="1"/>
    <col min="4" max="6" width="15.7109375" style="91" customWidth="1"/>
    <col min="7" max="7" width="17.57421875" style="91" customWidth="1"/>
    <col min="8" max="8" width="9.140625" style="90" customWidth="1"/>
    <col min="9" max="9" width="18.421875" style="90" customWidth="1"/>
    <col min="10" max="11" width="16.140625" style="90" bestFit="1" customWidth="1"/>
    <col min="12" max="12" width="14.8515625" style="90" bestFit="1" customWidth="1"/>
    <col min="13" max="16384" width="9.140625" style="90" customWidth="1"/>
  </cols>
  <sheetData>
    <row r="1" spans="1:7" ht="15.75">
      <c r="A1" s="161" t="s">
        <v>74</v>
      </c>
      <c r="B1" s="161"/>
      <c r="C1" s="161"/>
      <c r="D1" s="161"/>
      <c r="E1" s="161"/>
      <c r="F1" s="161"/>
      <c r="G1" s="161"/>
    </row>
    <row r="2" spans="1:7" ht="15.75">
      <c r="A2" s="161" t="s">
        <v>0</v>
      </c>
      <c r="B2" s="161"/>
      <c r="C2" s="161"/>
      <c r="D2" s="161"/>
      <c r="E2" s="161"/>
      <c r="F2" s="161"/>
      <c r="G2" s="161"/>
    </row>
    <row r="3" spans="1:7" ht="15">
      <c r="A3" s="160" t="s">
        <v>62</v>
      </c>
      <c r="B3" s="160"/>
      <c r="C3" s="160"/>
      <c r="D3" s="160"/>
      <c r="E3" s="160"/>
      <c r="F3" s="160"/>
      <c r="G3" s="160"/>
    </row>
    <row r="4" spans="1:7" ht="15.75" thickBot="1">
      <c r="A4" s="158"/>
      <c r="B4" s="158"/>
      <c r="C4" s="158"/>
      <c r="D4" s="158"/>
      <c r="E4" s="158"/>
      <c r="F4" s="158"/>
      <c r="G4" s="158"/>
    </row>
    <row r="5" spans="1:7" ht="15.75" customHeight="1" thickBot="1">
      <c r="A5" s="196" t="s">
        <v>2</v>
      </c>
      <c r="B5" s="198" t="s">
        <v>3</v>
      </c>
      <c r="C5" s="199"/>
      <c r="D5" s="200" t="s">
        <v>4</v>
      </c>
      <c r="E5" s="201"/>
      <c r="F5" s="201"/>
      <c r="G5" s="202"/>
    </row>
    <row r="6" spans="1:10" s="153" customFormat="1" ht="48" thickBot="1">
      <c r="A6" s="197"/>
      <c r="B6" s="154" t="s">
        <v>5</v>
      </c>
      <c r="C6" s="154" t="s">
        <v>6</v>
      </c>
      <c r="D6" s="176" t="s">
        <v>7</v>
      </c>
      <c r="E6" s="177" t="s">
        <v>8</v>
      </c>
      <c r="F6" s="177" t="s">
        <v>9</v>
      </c>
      <c r="G6" s="178" t="s">
        <v>10</v>
      </c>
      <c r="J6" s="180"/>
    </row>
    <row r="7" spans="1:7" ht="15" customHeight="1">
      <c r="A7" s="131" t="s">
        <v>11</v>
      </c>
      <c r="B7" s="162"/>
      <c r="C7" s="102"/>
      <c r="D7" s="123"/>
      <c r="E7" s="122"/>
      <c r="F7" s="122"/>
      <c r="G7" s="152"/>
    </row>
    <row r="8" spans="1:7" ht="15" customHeight="1">
      <c r="A8" s="107" t="s">
        <v>12</v>
      </c>
      <c r="B8" s="163"/>
      <c r="C8" s="102"/>
      <c r="D8" s="123"/>
      <c r="E8" s="122"/>
      <c r="F8" s="122"/>
      <c r="G8" s="102"/>
    </row>
    <row r="9" spans="1:7" ht="15" customHeight="1">
      <c r="A9" s="124" t="s">
        <v>13</v>
      </c>
      <c r="B9" s="12">
        <v>31859432</v>
      </c>
      <c r="C9" s="12">
        <v>32148892</v>
      </c>
      <c r="D9" s="13">
        <v>31859432</v>
      </c>
      <c r="E9" s="14">
        <v>0</v>
      </c>
      <c r="F9" s="14">
        <v>0</v>
      </c>
      <c r="G9" s="12">
        <f aca="true" t="shared" si="0" ref="G9:G15">SUM(D9:F9)</f>
        <v>31859432</v>
      </c>
    </row>
    <row r="10" spans="1:7" ht="15" customHeight="1">
      <c r="A10" s="124" t="s">
        <v>14</v>
      </c>
      <c r="B10" s="12">
        <v>188475225</v>
      </c>
      <c r="C10" s="12">
        <v>191630225</v>
      </c>
      <c r="D10" s="13">
        <v>196261429</v>
      </c>
      <c r="E10" s="14">
        <v>0</v>
      </c>
      <c r="F10" s="14">
        <v>0</v>
      </c>
      <c r="G10" s="12">
        <f t="shared" si="0"/>
        <v>196261429</v>
      </c>
    </row>
    <row r="11" spans="1:7" ht="15" customHeight="1">
      <c r="A11" s="124" t="s">
        <v>15</v>
      </c>
      <c r="B11" s="12">
        <v>313793051</v>
      </c>
      <c r="C11" s="12">
        <v>322845725</v>
      </c>
      <c r="D11" s="13">
        <v>349760952</v>
      </c>
      <c r="E11" s="14">
        <v>0</v>
      </c>
      <c r="F11" s="14">
        <v>0</v>
      </c>
      <c r="G11" s="12">
        <f t="shared" si="0"/>
        <v>349760952</v>
      </c>
    </row>
    <row r="12" spans="1:7" ht="15" customHeight="1">
      <c r="A12" s="124" t="s">
        <v>16</v>
      </c>
      <c r="B12" s="12">
        <v>26502905</v>
      </c>
      <c r="C12" s="12">
        <v>29161649</v>
      </c>
      <c r="D12" s="13">
        <v>0</v>
      </c>
      <c r="E12" s="14">
        <v>30036498</v>
      </c>
      <c r="F12" s="14">
        <v>0</v>
      </c>
      <c r="G12" s="12">
        <f t="shared" si="0"/>
        <v>30036498</v>
      </c>
    </row>
    <row r="13" spans="1:7" ht="15" customHeight="1">
      <c r="A13" s="121" t="s">
        <v>17</v>
      </c>
      <c r="B13" s="12">
        <v>60904832</v>
      </c>
      <c r="C13" s="12">
        <v>56694118</v>
      </c>
      <c r="D13" s="13">
        <v>17828152</v>
      </c>
      <c r="E13" s="14">
        <v>40309357</v>
      </c>
      <c r="F13" s="14">
        <v>0</v>
      </c>
      <c r="G13" s="12">
        <f t="shared" si="0"/>
        <v>58137509</v>
      </c>
    </row>
    <row r="14" spans="1:7" s="108" customFormat="1" ht="15" customHeight="1">
      <c r="A14" s="151" t="s">
        <v>18</v>
      </c>
      <c r="B14" s="75">
        <f>SUM(B9:B13)</f>
        <v>621535445</v>
      </c>
      <c r="C14" s="22">
        <f>SUM(C9:C13)</f>
        <v>632480609</v>
      </c>
      <c r="D14" s="23">
        <f>SUM(D9:D13)</f>
        <v>595709965</v>
      </c>
      <c r="E14" s="24">
        <f>SUM(E9:E13)</f>
        <v>70345855</v>
      </c>
      <c r="F14" s="24">
        <f>SUM(F9:F13)</f>
        <v>0</v>
      </c>
      <c r="G14" s="22">
        <f t="shared" si="0"/>
        <v>666055820</v>
      </c>
    </row>
    <row r="15" spans="1:7" ht="15" customHeight="1">
      <c r="A15" s="107" t="s">
        <v>19</v>
      </c>
      <c r="B15" s="12">
        <v>2280698</v>
      </c>
      <c r="C15" s="12">
        <v>3826820</v>
      </c>
      <c r="D15" s="13">
        <v>0</v>
      </c>
      <c r="E15" s="14">
        <v>0</v>
      </c>
      <c r="F15" s="14">
        <v>3520675</v>
      </c>
      <c r="G15" s="12">
        <f t="shared" si="0"/>
        <v>3520675</v>
      </c>
    </row>
    <row r="16" spans="1:7" ht="15" customHeight="1">
      <c r="A16" s="107" t="s">
        <v>20</v>
      </c>
      <c r="B16" s="12"/>
      <c r="C16" s="12"/>
      <c r="D16" s="13"/>
      <c r="E16" s="14"/>
      <c r="F16" s="14"/>
      <c r="G16" s="12"/>
    </row>
    <row r="17" spans="1:7" ht="15" customHeight="1">
      <c r="A17" s="124" t="s">
        <v>21</v>
      </c>
      <c r="B17" s="12">
        <v>269808303</v>
      </c>
      <c r="C17" s="12">
        <v>293700642</v>
      </c>
      <c r="D17" s="13">
        <v>0</v>
      </c>
      <c r="E17" s="14">
        <v>0</v>
      </c>
      <c r="F17" s="14">
        <v>293867162</v>
      </c>
      <c r="G17" s="12">
        <f aca="true" t="shared" si="1" ref="G17:G25">SUM(D17:F17)</f>
        <v>293867162</v>
      </c>
    </row>
    <row r="18" spans="1:7" ht="15" customHeight="1">
      <c r="A18" s="124" t="s">
        <v>22</v>
      </c>
      <c r="B18" s="12">
        <v>11743134</v>
      </c>
      <c r="C18" s="12">
        <v>10980334</v>
      </c>
      <c r="D18" s="13">
        <v>0</v>
      </c>
      <c r="E18" s="14">
        <v>0</v>
      </c>
      <c r="F18" s="14">
        <v>11644618</v>
      </c>
      <c r="G18" s="12">
        <f t="shared" si="1"/>
        <v>11644618</v>
      </c>
    </row>
    <row r="19" spans="1:7" ht="15" customHeight="1">
      <c r="A19" s="124" t="s">
        <v>23</v>
      </c>
      <c r="B19" s="12">
        <v>0</v>
      </c>
      <c r="C19" s="12">
        <v>0</v>
      </c>
      <c r="D19" s="13">
        <v>0</v>
      </c>
      <c r="E19" s="14">
        <v>0</v>
      </c>
      <c r="F19" s="14">
        <v>0</v>
      </c>
      <c r="G19" s="12">
        <f t="shared" si="1"/>
        <v>0</v>
      </c>
    </row>
    <row r="20" spans="1:7" ht="15" customHeight="1">
      <c r="A20" s="121" t="s">
        <v>24</v>
      </c>
      <c r="B20" s="12">
        <v>31521096</v>
      </c>
      <c r="C20" s="12">
        <v>31231636</v>
      </c>
      <c r="D20" s="13">
        <v>37859149</v>
      </c>
      <c r="E20" s="14">
        <v>0</v>
      </c>
      <c r="F20" s="14">
        <v>0</v>
      </c>
      <c r="G20" s="12">
        <f t="shared" si="1"/>
        <v>37859149</v>
      </c>
    </row>
    <row r="21" spans="1:7" s="108" customFormat="1" ht="15" customHeight="1">
      <c r="A21" s="151" t="s">
        <v>25</v>
      </c>
      <c r="B21" s="22">
        <f>SUM(B15:B20)</f>
        <v>315353231</v>
      </c>
      <c r="C21" s="22">
        <f>SUM(C15:C20)</f>
        <v>339739432</v>
      </c>
      <c r="D21" s="23">
        <f>SUM(D15:D20)</f>
        <v>37859149</v>
      </c>
      <c r="E21" s="24">
        <f>SUM(E15:E20)</f>
        <v>0</v>
      </c>
      <c r="F21" s="24">
        <f>SUM(F15:F20)</f>
        <v>309032455</v>
      </c>
      <c r="G21" s="22">
        <f t="shared" si="1"/>
        <v>346891604</v>
      </c>
    </row>
    <row r="22" spans="1:7" ht="15" customHeight="1">
      <c r="A22" s="107" t="s">
        <v>26</v>
      </c>
      <c r="B22" s="12">
        <v>92307002</v>
      </c>
      <c r="C22" s="12">
        <v>90421214</v>
      </c>
      <c r="D22" s="13">
        <v>0</v>
      </c>
      <c r="E22" s="14">
        <v>0</v>
      </c>
      <c r="F22" s="14">
        <v>110681049</v>
      </c>
      <c r="G22" s="12">
        <f t="shared" si="1"/>
        <v>110681049</v>
      </c>
    </row>
    <row r="23" spans="1:7" ht="15" customHeight="1">
      <c r="A23" s="107" t="s">
        <v>27</v>
      </c>
      <c r="B23" s="12">
        <v>32582659</v>
      </c>
      <c r="C23" s="12">
        <v>35038793</v>
      </c>
      <c r="D23" s="13">
        <v>0</v>
      </c>
      <c r="E23" s="14">
        <v>36203171</v>
      </c>
      <c r="F23" s="14">
        <v>0</v>
      </c>
      <c r="G23" s="12">
        <f t="shared" si="1"/>
        <v>36203171</v>
      </c>
    </row>
    <row r="24" spans="1:7" ht="15" customHeight="1">
      <c r="A24" s="107" t="s">
        <v>28</v>
      </c>
      <c r="B24" s="12">
        <v>197543100</v>
      </c>
      <c r="C24" s="12">
        <v>196659915</v>
      </c>
      <c r="D24" s="13">
        <v>0</v>
      </c>
      <c r="E24" s="14">
        <v>206667637</v>
      </c>
      <c r="F24" s="14">
        <v>0</v>
      </c>
      <c r="G24" s="12">
        <f t="shared" si="1"/>
        <v>206667637</v>
      </c>
    </row>
    <row r="25" spans="1:7" ht="15" customHeight="1">
      <c r="A25" s="107" t="s">
        <v>29</v>
      </c>
      <c r="B25" s="12">
        <v>0</v>
      </c>
      <c r="C25" s="12">
        <v>0</v>
      </c>
      <c r="D25" s="13">
        <v>0</v>
      </c>
      <c r="E25" s="14">
        <v>0</v>
      </c>
      <c r="F25" s="14">
        <v>0</v>
      </c>
      <c r="G25" s="12">
        <f t="shared" si="1"/>
        <v>0</v>
      </c>
    </row>
    <row r="26" spans="1:7" ht="15" customHeight="1">
      <c r="A26" s="107" t="s">
        <v>30</v>
      </c>
      <c r="B26" s="12"/>
      <c r="C26" s="12"/>
      <c r="D26" s="13"/>
      <c r="E26" s="14"/>
      <c r="F26" s="14"/>
      <c r="G26" s="12"/>
    </row>
    <row r="27" spans="1:7" ht="15" customHeight="1">
      <c r="A27" s="124" t="s">
        <v>31</v>
      </c>
      <c r="B27" s="12">
        <v>77765498</v>
      </c>
      <c r="C27" s="12">
        <v>83171589</v>
      </c>
      <c r="D27" s="13">
        <v>58833914</v>
      </c>
      <c r="E27" s="14">
        <v>27653584</v>
      </c>
      <c r="F27" s="14">
        <v>0</v>
      </c>
      <c r="G27" s="12">
        <f>SUM(D27:F27)</f>
        <v>86487498</v>
      </c>
    </row>
    <row r="28" spans="1:7" ht="15" customHeight="1">
      <c r="A28" s="124" t="s">
        <v>32</v>
      </c>
      <c r="B28" s="12">
        <v>0</v>
      </c>
      <c r="C28" s="12">
        <v>0</v>
      </c>
      <c r="D28" s="13">
        <v>0</v>
      </c>
      <c r="E28" s="14">
        <v>0</v>
      </c>
      <c r="F28" s="14">
        <v>0</v>
      </c>
      <c r="G28" s="12">
        <f>SUM(D28:F28)</f>
        <v>0</v>
      </c>
    </row>
    <row r="29" spans="1:7" ht="15" customHeight="1" thickBot="1">
      <c r="A29" s="144" t="s">
        <v>33</v>
      </c>
      <c r="B29" s="12">
        <v>14608864</v>
      </c>
      <c r="C29" s="12">
        <v>15625448</v>
      </c>
      <c r="D29" s="13">
        <v>4522875</v>
      </c>
      <c r="E29" s="28">
        <v>11211517</v>
      </c>
      <c r="F29" s="14">
        <v>0</v>
      </c>
      <c r="G29" s="12">
        <f>SUM(D29:F29)</f>
        <v>15734392</v>
      </c>
    </row>
    <row r="30" spans="1:10" s="108" customFormat="1" ht="15" customHeight="1" thickTop="1">
      <c r="A30" s="133" t="s">
        <v>34</v>
      </c>
      <c r="B30" s="32">
        <f>B14+B21+SUM(B22:B29)</f>
        <v>1351695799</v>
      </c>
      <c r="C30" s="32">
        <f>C14+C21+SUM(C22:C29)</f>
        <v>1393137000</v>
      </c>
      <c r="D30" s="33">
        <f>D14+D21+SUM(D22:D29)</f>
        <v>696925903</v>
      </c>
      <c r="E30" s="34">
        <f>E14+E21+SUM(E22:E29)</f>
        <v>352081764</v>
      </c>
      <c r="F30" s="35">
        <f>F14+F21+SUM(F22:F29)</f>
        <v>419713504</v>
      </c>
      <c r="G30" s="32">
        <f>SUM(D30:F30)</f>
        <v>1468721171</v>
      </c>
      <c r="J30" s="179"/>
    </row>
    <row r="31" spans="1:7" ht="15" customHeight="1">
      <c r="A31" s="107"/>
      <c r="B31" s="12"/>
      <c r="C31" s="12"/>
      <c r="D31" s="13"/>
      <c r="E31" s="14"/>
      <c r="F31" s="14"/>
      <c r="G31" s="12"/>
    </row>
    <row r="32" spans="1:7" ht="15" customHeight="1">
      <c r="A32" s="131" t="s">
        <v>35</v>
      </c>
      <c r="B32" s="12"/>
      <c r="C32" s="12"/>
      <c r="D32" s="13"/>
      <c r="E32" s="14"/>
      <c r="F32" s="14"/>
      <c r="G32" s="12"/>
    </row>
    <row r="33" spans="1:7" ht="15" customHeight="1">
      <c r="A33" s="107" t="s">
        <v>36</v>
      </c>
      <c r="B33" s="12"/>
      <c r="C33" s="12"/>
      <c r="D33" s="13"/>
      <c r="E33" s="14"/>
      <c r="F33" s="14"/>
      <c r="G33" s="12"/>
    </row>
    <row r="34" spans="1:7" ht="15" customHeight="1">
      <c r="A34" s="124" t="s">
        <v>37</v>
      </c>
      <c r="B34" s="12">
        <v>400892692</v>
      </c>
      <c r="C34" s="12">
        <v>414627465</v>
      </c>
      <c r="D34" s="13">
        <v>357377444</v>
      </c>
      <c r="E34" s="14">
        <v>41704186</v>
      </c>
      <c r="F34" s="14">
        <v>35870870</v>
      </c>
      <c r="G34" s="12">
        <f aca="true" t="shared" si="2" ref="G34:G45">SUM(D34:F34)</f>
        <v>434952500</v>
      </c>
    </row>
    <row r="35" spans="1:7" ht="15" customHeight="1">
      <c r="A35" s="124" t="s">
        <v>38</v>
      </c>
      <c r="B35" s="12">
        <v>277223064</v>
      </c>
      <c r="C35" s="12">
        <v>293830106</v>
      </c>
      <c r="D35" s="13">
        <v>5281549</v>
      </c>
      <c r="E35" s="14">
        <v>524948</v>
      </c>
      <c r="F35" s="14">
        <v>301550736</v>
      </c>
      <c r="G35" s="12">
        <f t="shared" si="2"/>
        <v>307357233</v>
      </c>
    </row>
    <row r="36" spans="1:7" ht="15" customHeight="1">
      <c r="A36" s="124" t="s">
        <v>39</v>
      </c>
      <c r="B36" s="12">
        <v>5507874</v>
      </c>
      <c r="C36" s="12">
        <v>5506486</v>
      </c>
      <c r="D36" s="13">
        <v>1152863</v>
      </c>
      <c r="E36" s="14">
        <v>3062195</v>
      </c>
      <c r="F36" s="14">
        <v>1507322</v>
      </c>
      <c r="G36" s="12">
        <f t="shared" si="2"/>
        <v>5722380</v>
      </c>
    </row>
    <row r="37" spans="1:7" ht="15" customHeight="1">
      <c r="A37" s="124" t="s">
        <v>40</v>
      </c>
      <c r="B37" s="12">
        <v>110935116</v>
      </c>
      <c r="C37" s="12">
        <v>109380854</v>
      </c>
      <c r="D37" s="13">
        <v>103426754</v>
      </c>
      <c r="E37" s="14">
        <v>8953276</v>
      </c>
      <c r="F37" s="14">
        <v>4069769</v>
      </c>
      <c r="G37" s="12">
        <f t="shared" si="2"/>
        <v>116449799</v>
      </c>
    </row>
    <row r="38" spans="1:7" ht="15" customHeight="1">
      <c r="A38" s="124" t="s">
        <v>41</v>
      </c>
      <c r="B38" s="12">
        <v>80007290</v>
      </c>
      <c r="C38" s="12">
        <v>82754129</v>
      </c>
      <c r="D38" s="13">
        <v>36002515</v>
      </c>
      <c r="E38" s="14">
        <v>49578403</v>
      </c>
      <c r="F38" s="14">
        <v>1557566</v>
      </c>
      <c r="G38" s="12">
        <f t="shared" si="2"/>
        <v>87138484</v>
      </c>
    </row>
    <row r="39" spans="1:7" ht="15" customHeight="1">
      <c r="A39" s="124" t="s">
        <v>42</v>
      </c>
      <c r="B39" s="12">
        <v>59287403</v>
      </c>
      <c r="C39" s="12">
        <v>65252996</v>
      </c>
      <c r="D39" s="13">
        <v>54144338</v>
      </c>
      <c r="E39" s="14">
        <v>3791290</v>
      </c>
      <c r="F39" s="14">
        <v>11606377</v>
      </c>
      <c r="G39" s="12">
        <f t="shared" si="2"/>
        <v>69542005</v>
      </c>
    </row>
    <row r="40" spans="1:7" ht="15" customHeight="1">
      <c r="A40" s="124" t="s">
        <v>43</v>
      </c>
      <c r="B40" s="12">
        <v>76700924</v>
      </c>
      <c r="C40" s="12">
        <v>74857875</v>
      </c>
      <c r="D40" s="13">
        <v>80874213</v>
      </c>
      <c r="E40" s="14">
        <v>0</v>
      </c>
      <c r="F40" s="14">
        <v>251220</v>
      </c>
      <c r="G40" s="12">
        <f t="shared" si="2"/>
        <v>81125433</v>
      </c>
    </row>
    <row r="41" spans="1:7" ht="15" customHeight="1">
      <c r="A41" s="124" t="s">
        <v>44</v>
      </c>
      <c r="B41" s="12">
        <v>105291239</v>
      </c>
      <c r="C41" s="12">
        <v>111204326</v>
      </c>
      <c r="D41" s="13">
        <v>58666227</v>
      </c>
      <c r="E41" s="14">
        <v>11957144</v>
      </c>
      <c r="F41" s="14">
        <v>48987955</v>
      </c>
      <c r="G41" s="12">
        <f t="shared" si="2"/>
        <v>119611326</v>
      </c>
    </row>
    <row r="42" spans="1:7" ht="15" customHeight="1">
      <c r="A42" s="107" t="s">
        <v>45</v>
      </c>
      <c r="B42" s="12">
        <v>173279702</v>
      </c>
      <c r="C42" s="12">
        <v>176042625</v>
      </c>
      <c r="D42" s="13">
        <v>0</v>
      </c>
      <c r="E42" s="14">
        <v>172066222</v>
      </c>
      <c r="F42" s="14">
        <v>10551252</v>
      </c>
      <c r="G42" s="12">
        <f t="shared" si="2"/>
        <v>182617474</v>
      </c>
    </row>
    <row r="43" spans="1:7" ht="15" customHeight="1">
      <c r="A43" s="107" t="s">
        <v>29</v>
      </c>
      <c r="B43" s="12">
        <v>0</v>
      </c>
      <c r="C43" s="12">
        <v>0</v>
      </c>
      <c r="D43" s="13">
        <v>0</v>
      </c>
      <c r="E43" s="14">
        <v>0</v>
      </c>
      <c r="F43" s="14">
        <v>0</v>
      </c>
      <c r="G43" s="12">
        <f t="shared" si="2"/>
        <v>0</v>
      </c>
    </row>
    <row r="44" spans="1:7" ht="15" customHeight="1" thickBot="1">
      <c r="A44" s="137" t="s">
        <v>46</v>
      </c>
      <c r="B44" s="12">
        <v>0</v>
      </c>
      <c r="C44" s="12">
        <v>0</v>
      </c>
      <c r="D44" s="13">
        <v>0</v>
      </c>
      <c r="E44" s="28">
        <v>0</v>
      </c>
      <c r="F44" s="14">
        <v>0</v>
      </c>
      <c r="G44" s="51">
        <f t="shared" si="2"/>
        <v>0</v>
      </c>
    </row>
    <row r="45" spans="1:7" s="108" customFormat="1" ht="15" customHeight="1" thickTop="1">
      <c r="A45" s="133" t="s">
        <v>47</v>
      </c>
      <c r="B45" s="32">
        <f>SUM(B34:B44)</f>
        <v>1289125304</v>
      </c>
      <c r="C45" s="32">
        <f>SUM(C34:C44)</f>
        <v>1333456862</v>
      </c>
      <c r="D45" s="33">
        <f>SUM(D34:D44)</f>
        <v>696925903</v>
      </c>
      <c r="E45" s="34">
        <f>SUM(E34:E44)</f>
        <v>291637664</v>
      </c>
      <c r="F45" s="35">
        <f>SUM(F34:F44)</f>
        <v>415953067</v>
      </c>
      <c r="G45" s="32">
        <f t="shared" si="2"/>
        <v>1404516634</v>
      </c>
    </row>
    <row r="46" spans="1:7" ht="15" customHeight="1">
      <c r="A46" s="107"/>
      <c r="B46" s="12"/>
      <c r="C46" s="12"/>
      <c r="D46" s="13"/>
      <c r="E46" s="14"/>
      <c r="F46" s="14"/>
      <c r="G46" s="12"/>
    </row>
    <row r="47" spans="1:7" ht="15" customHeight="1">
      <c r="A47" s="131" t="s">
        <v>48</v>
      </c>
      <c r="B47" s="12"/>
      <c r="C47" s="12"/>
      <c r="D47" s="13"/>
      <c r="E47" s="14"/>
      <c r="F47" s="14"/>
      <c r="G47" s="12"/>
    </row>
    <row r="48" spans="1:7" ht="15" customHeight="1">
      <c r="A48" s="107" t="s">
        <v>49</v>
      </c>
      <c r="B48" s="12"/>
      <c r="C48" s="12"/>
      <c r="D48" s="13"/>
      <c r="E48" s="14"/>
      <c r="F48" s="14"/>
      <c r="G48" s="12"/>
    </row>
    <row r="49" spans="1:7" ht="15" customHeight="1">
      <c r="A49" s="124" t="s">
        <v>50</v>
      </c>
      <c r="B49" s="12">
        <v>60545082</v>
      </c>
      <c r="C49" s="12">
        <v>58053591</v>
      </c>
      <c r="D49" s="13">
        <v>0</v>
      </c>
      <c r="E49" s="14">
        <v>55296513</v>
      </c>
      <c r="F49" s="14">
        <v>4961477</v>
      </c>
      <c r="G49" s="12">
        <f>SUM(D49:F49)</f>
        <v>60257990</v>
      </c>
    </row>
    <row r="50" spans="1:7" ht="15" customHeight="1">
      <c r="A50" s="124" t="s">
        <v>51</v>
      </c>
      <c r="B50" s="12">
        <v>0</v>
      </c>
      <c r="C50" s="12">
        <v>0</v>
      </c>
      <c r="D50" s="13">
        <v>0</v>
      </c>
      <c r="E50" s="14">
        <v>0</v>
      </c>
      <c r="F50" s="14">
        <v>0</v>
      </c>
      <c r="G50" s="12">
        <f>SUM(D50:F50)</f>
        <v>0</v>
      </c>
    </row>
    <row r="51" spans="1:7" ht="15" customHeight="1">
      <c r="A51" s="121" t="s">
        <v>52</v>
      </c>
      <c r="B51" s="12">
        <v>0</v>
      </c>
      <c r="C51" s="12">
        <v>0</v>
      </c>
      <c r="D51" s="13">
        <v>0</v>
      </c>
      <c r="E51" s="38">
        <v>0</v>
      </c>
      <c r="F51" s="14">
        <v>0</v>
      </c>
      <c r="G51" s="12">
        <f>SUM(D51:F51)</f>
        <v>0</v>
      </c>
    </row>
    <row r="52" spans="1:7" ht="15" customHeight="1">
      <c r="A52" s="129" t="s">
        <v>53</v>
      </c>
      <c r="B52" s="41">
        <f>SUM(B49:B51)</f>
        <v>60545082</v>
      </c>
      <c r="C52" s="41">
        <f>SUM(C49:C51)</f>
        <v>58053591</v>
      </c>
      <c r="D52" s="42">
        <f>SUM(D49:D51)</f>
        <v>0</v>
      </c>
      <c r="E52" s="38">
        <f>SUM(E49:E51)</f>
        <v>55296513</v>
      </c>
      <c r="F52" s="43">
        <f>SUM(F49:F51)</f>
        <v>4961477</v>
      </c>
      <c r="G52" s="41">
        <f>SUM(D52:F52)</f>
        <v>60257990</v>
      </c>
    </row>
    <row r="53" spans="1:7" ht="15" customHeight="1">
      <c r="A53" s="107"/>
      <c r="B53" s="12"/>
      <c r="C53" s="12"/>
      <c r="D53" s="13"/>
      <c r="E53" s="14"/>
      <c r="F53" s="14"/>
      <c r="G53" s="12"/>
    </row>
    <row r="54" spans="1:7" ht="15" customHeight="1">
      <c r="A54" s="107" t="s">
        <v>54</v>
      </c>
      <c r="B54" s="12"/>
      <c r="C54" s="12"/>
      <c r="D54" s="13"/>
      <c r="E54" s="14"/>
      <c r="F54" s="14"/>
      <c r="G54" s="12"/>
    </row>
    <row r="55" spans="1:7" ht="15" customHeight="1">
      <c r="A55" s="124" t="s">
        <v>55</v>
      </c>
      <c r="B55" s="12">
        <v>0</v>
      </c>
      <c r="C55" s="12">
        <v>0</v>
      </c>
      <c r="D55" s="13">
        <v>0</v>
      </c>
      <c r="E55" s="14">
        <v>0</v>
      </c>
      <c r="F55" s="14">
        <v>0</v>
      </c>
      <c r="G55" s="12">
        <f>SUM(D55:F55)</f>
        <v>0</v>
      </c>
    </row>
    <row r="56" spans="1:7" ht="15" customHeight="1">
      <c r="A56" s="121" t="s">
        <v>46</v>
      </c>
      <c r="B56" s="45">
        <v>2025413</v>
      </c>
      <c r="C56" s="45">
        <v>1626547</v>
      </c>
      <c r="D56" s="46">
        <v>0</v>
      </c>
      <c r="E56" s="38">
        <v>5147587</v>
      </c>
      <c r="F56" s="38">
        <v>-1201040</v>
      </c>
      <c r="G56" s="12">
        <f>SUM(D56:F56)</f>
        <v>3946547</v>
      </c>
    </row>
    <row r="57" spans="1:7" ht="15" customHeight="1" thickBot="1">
      <c r="A57" s="116" t="s">
        <v>57</v>
      </c>
      <c r="B57" s="49">
        <f>SUM(B55:B56)</f>
        <v>2025413</v>
      </c>
      <c r="C57" s="49">
        <f>SUM(C55:C56)</f>
        <v>1626547</v>
      </c>
      <c r="D57" s="50">
        <f>SUM(D55:D56)</f>
        <v>0</v>
      </c>
      <c r="E57" s="28">
        <f>SUM(E55:E56)</f>
        <v>5147587</v>
      </c>
      <c r="F57" s="28">
        <f>SUM(F55:F56)</f>
        <v>-1201040</v>
      </c>
      <c r="G57" s="49">
        <f>SUM(D57:F57)</f>
        <v>3946547</v>
      </c>
    </row>
    <row r="58" spans="1:7" s="108" customFormat="1" ht="15" customHeight="1" thickTop="1">
      <c r="A58" s="112" t="s">
        <v>58</v>
      </c>
      <c r="B58" s="54">
        <f>B45+B52+B57</f>
        <v>1351695799</v>
      </c>
      <c r="C58" s="54">
        <f>C45+C52+C57</f>
        <v>1393137000</v>
      </c>
      <c r="D58" s="55">
        <f>D45+D52+D57</f>
        <v>696925903</v>
      </c>
      <c r="E58" s="34">
        <f>E45+E52+E57</f>
        <v>352081764</v>
      </c>
      <c r="F58" s="34">
        <f>F45+F52+F57</f>
        <v>419713504</v>
      </c>
      <c r="G58" s="32">
        <f>SUM(D58:F58)</f>
        <v>1468721171</v>
      </c>
    </row>
    <row r="59" spans="1:7" ht="15" customHeight="1">
      <c r="A59" s="107"/>
      <c r="B59" s="12"/>
      <c r="C59" s="12"/>
      <c r="D59" s="13"/>
      <c r="E59" s="14"/>
      <c r="F59" s="14"/>
      <c r="G59" s="12"/>
    </row>
    <row r="60" spans="1:7" ht="15" customHeight="1" thickBot="1">
      <c r="A60" s="101" t="s">
        <v>59</v>
      </c>
      <c r="B60" s="58">
        <f>B30-B58</f>
        <v>0</v>
      </c>
      <c r="C60" s="58">
        <f>C30-C58</f>
        <v>0</v>
      </c>
      <c r="D60" s="59">
        <f>D30-D58</f>
        <v>0</v>
      </c>
      <c r="E60" s="60">
        <f>E30-E58</f>
        <v>0</v>
      </c>
      <c r="F60" s="60">
        <f>F30-F58</f>
        <v>0</v>
      </c>
      <c r="G60" s="175">
        <f>SUM(D60:F60)</f>
        <v>0</v>
      </c>
    </row>
    <row r="62" spans="1:3" ht="15">
      <c r="A62" s="165" t="s">
        <v>63</v>
      </c>
      <c r="B62" s="95"/>
      <c r="C62" s="95"/>
    </row>
    <row r="63" spans="1:3" ht="15">
      <c r="A63" s="166" t="s">
        <v>64</v>
      </c>
      <c r="B63" s="93"/>
      <c r="C63" s="93"/>
    </row>
    <row r="64" spans="1:3" ht="15">
      <c r="A64" s="92" t="s">
        <v>65</v>
      </c>
      <c r="B64" s="92"/>
      <c r="C64" s="92"/>
    </row>
    <row r="65" spans="1:7" ht="15">
      <c r="A65" s="92" t="s">
        <v>66</v>
      </c>
      <c r="B65" s="92"/>
      <c r="C65" s="92"/>
      <c r="D65" s="90"/>
      <c r="E65" s="90"/>
      <c r="F65" s="90"/>
      <c r="G65" s="90"/>
    </row>
    <row r="66" spans="1:7" ht="15">
      <c r="A66" s="92" t="s">
        <v>67</v>
      </c>
      <c r="B66" s="92"/>
      <c r="C66" s="92"/>
      <c r="D66" s="90"/>
      <c r="E66" s="90"/>
      <c r="F66" s="90"/>
      <c r="G66" s="90"/>
    </row>
    <row r="67" spans="1:7" ht="15">
      <c r="A67" s="92" t="s">
        <v>68</v>
      </c>
      <c r="B67" s="92"/>
      <c r="C67" s="92"/>
      <c r="D67" s="90"/>
      <c r="E67" s="90"/>
      <c r="F67" s="90"/>
      <c r="G67" s="90"/>
    </row>
    <row r="68" spans="1:7" ht="15">
      <c r="A68" s="92" t="s">
        <v>69</v>
      </c>
      <c r="B68" s="92"/>
      <c r="C68" s="92"/>
      <c r="D68" s="90"/>
      <c r="E68" s="90"/>
      <c r="F68" s="90"/>
      <c r="G68" s="90"/>
    </row>
    <row r="69" ht="15">
      <c r="A69" s="92" t="s">
        <v>70</v>
      </c>
    </row>
    <row r="70" ht="15">
      <c r="A70" s="166" t="s">
        <v>71</v>
      </c>
    </row>
    <row r="71" ht="15">
      <c r="A71" s="92" t="s">
        <v>72</v>
      </c>
    </row>
  </sheetData>
  <sheetProtection/>
  <mergeCells count="3">
    <mergeCell ref="A5:A6"/>
    <mergeCell ref="B5:C5"/>
    <mergeCell ref="D5:G5"/>
  </mergeCells>
  <printOptions horizontalCentered="1"/>
  <pageMargins left="0.75" right="0.75" top="0.75" bottom="0.75" header="0.3" footer="0.3"/>
  <pageSetup fitToHeight="1" fitToWidth="1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51.7109375" style="90" customWidth="1"/>
    <col min="2" max="2" width="16.7109375" style="90" customWidth="1"/>
    <col min="3" max="3" width="15.7109375" style="90" customWidth="1"/>
    <col min="4" max="7" width="15.7109375" style="91" customWidth="1"/>
    <col min="8" max="8" width="9.140625" style="90" customWidth="1"/>
    <col min="9" max="9" width="16.140625" style="90" bestFit="1" customWidth="1"/>
    <col min="10" max="16384" width="9.140625" style="90" customWidth="1"/>
  </cols>
  <sheetData>
    <row r="1" spans="1:7" ht="15.75">
      <c r="A1" s="161" t="s">
        <v>74</v>
      </c>
      <c r="B1" s="161"/>
      <c r="C1" s="161"/>
      <c r="D1" s="161"/>
      <c r="E1" s="161"/>
      <c r="F1" s="161"/>
      <c r="G1" s="161"/>
    </row>
    <row r="2" spans="1:7" ht="15.75">
      <c r="A2" s="161" t="s">
        <v>0</v>
      </c>
      <c r="B2" s="161"/>
      <c r="C2" s="161"/>
      <c r="D2" s="161"/>
      <c r="E2" s="161"/>
      <c r="F2" s="161"/>
      <c r="G2" s="161"/>
    </row>
    <row r="3" spans="1:7" ht="15">
      <c r="A3" s="160" t="s">
        <v>61</v>
      </c>
      <c r="B3" s="160"/>
      <c r="C3" s="160"/>
      <c r="D3" s="160"/>
      <c r="E3" s="160"/>
      <c r="F3" s="160"/>
      <c r="G3" s="160"/>
    </row>
    <row r="4" spans="1:7" ht="15.75" thickBot="1">
      <c r="A4" s="158"/>
      <c r="B4" s="159"/>
      <c r="C4" s="159"/>
      <c r="D4" s="159"/>
      <c r="E4" s="159"/>
      <c r="F4" s="158"/>
      <c r="G4" s="158"/>
    </row>
    <row r="5" spans="1:7" ht="15.75" customHeight="1" thickBot="1">
      <c r="A5" s="196" t="s">
        <v>2</v>
      </c>
      <c r="B5" s="198" t="s">
        <v>3</v>
      </c>
      <c r="C5" s="199"/>
      <c r="D5" s="200" t="s">
        <v>4</v>
      </c>
      <c r="E5" s="201"/>
      <c r="F5" s="201"/>
      <c r="G5" s="202"/>
    </row>
    <row r="6" spans="1:7" s="153" customFormat="1" ht="79.5" thickBot="1">
      <c r="A6" s="197"/>
      <c r="B6" s="154" t="s">
        <v>5</v>
      </c>
      <c r="C6" s="154" t="s">
        <v>6</v>
      </c>
      <c r="D6" s="157" t="s">
        <v>7</v>
      </c>
      <c r="E6" s="156" t="s">
        <v>8</v>
      </c>
      <c r="F6" s="156" t="s">
        <v>9</v>
      </c>
      <c r="G6" s="155" t="s">
        <v>10</v>
      </c>
    </row>
    <row r="7" spans="1:7" ht="15" customHeight="1">
      <c r="A7" s="131" t="s">
        <v>11</v>
      </c>
      <c r="B7" s="130"/>
      <c r="C7" s="102"/>
      <c r="D7" s="123"/>
      <c r="E7" s="122"/>
      <c r="F7" s="122"/>
      <c r="G7" s="152"/>
    </row>
    <row r="8" spans="1:7" ht="15" customHeight="1">
      <c r="A8" s="107" t="s">
        <v>12</v>
      </c>
      <c r="B8" s="106"/>
      <c r="C8" s="102"/>
      <c r="D8" s="123"/>
      <c r="E8" s="122"/>
      <c r="F8" s="122"/>
      <c r="G8" s="102"/>
    </row>
    <row r="9" spans="1:7" ht="15" customHeight="1">
      <c r="A9" s="124" t="s">
        <v>13</v>
      </c>
      <c r="B9" s="106">
        <v>14390826</v>
      </c>
      <c r="C9" s="143">
        <v>14937991</v>
      </c>
      <c r="D9" s="123">
        <v>14390826</v>
      </c>
      <c r="E9" s="122">
        <v>0</v>
      </c>
      <c r="F9" s="122">
        <v>0</v>
      </c>
      <c r="G9" s="102">
        <f aca="true" t="shared" si="0" ref="G9:G15">SUM(D9:F9)</f>
        <v>14390826</v>
      </c>
    </row>
    <row r="10" spans="1:7" ht="15" customHeight="1">
      <c r="A10" s="124" t="s">
        <v>14</v>
      </c>
      <c r="B10" s="106">
        <v>71948304</v>
      </c>
      <c r="C10" s="143">
        <v>72721166</v>
      </c>
      <c r="D10" s="123">
        <v>74881248</v>
      </c>
      <c r="E10" s="122">
        <v>0</v>
      </c>
      <c r="F10" s="122">
        <v>0</v>
      </c>
      <c r="G10" s="102">
        <f t="shared" si="0"/>
        <v>74881248</v>
      </c>
    </row>
    <row r="11" spans="1:7" ht="15" customHeight="1">
      <c r="A11" s="124" t="s">
        <v>15</v>
      </c>
      <c r="B11" s="106">
        <v>22415882.4</v>
      </c>
      <c r="C11" s="143">
        <v>21962916</v>
      </c>
      <c r="D11" s="123">
        <f>20884485+6337641</f>
        <v>27222126</v>
      </c>
      <c r="E11" s="122">
        <v>0</v>
      </c>
      <c r="F11" s="122">
        <v>0</v>
      </c>
      <c r="G11" s="102">
        <f t="shared" si="0"/>
        <v>27222126</v>
      </c>
    </row>
    <row r="12" spans="1:7" ht="15" customHeight="1">
      <c r="A12" s="124" t="s">
        <v>16</v>
      </c>
      <c r="B12" s="106">
        <v>3226643</v>
      </c>
      <c r="C12" s="143">
        <v>3641569</v>
      </c>
      <c r="D12" s="123">
        <v>0</v>
      </c>
      <c r="E12" s="122">
        <v>3967676</v>
      </c>
      <c r="F12" s="122">
        <v>0</v>
      </c>
      <c r="G12" s="102">
        <f t="shared" si="0"/>
        <v>3967676</v>
      </c>
    </row>
    <row r="13" spans="1:7" ht="15" customHeight="1">
      <c r="A13" s="121" t="s">
        <v>17</v>
      </c>
      <c r="B13" s="106">
        <v>16494059.4</v>
      </c>
      <c r="C13" s="143">
        <f>2277721+2829124+12474273</f>
        <v>17581118</v>
      </c>
      <c r="D13" s="123">
        <v>5204882</v>
      </c>
      <c r="E13" s="122">
        <f>13211736+335878</f>
        <v>13547614</v>
      </c>
      <c r="F13" s="122">
        <v>0</v>
      </c>
      <c r="G13" s="102">
        <f t="shared" si="0"/>
        <v>18752496</v>
      </c>
    </row>
    <row r="14" spans="1:7" s="108" customFormat="1" ht="15" customHeight="1">
      <c r="A14" s="151" t="s">
        <v>18</v>
      </c>
      <c r="B14" s="150">
        <f>SUM(B9:B13)</f>
        <v>128475714.80000001</v>
      </c>
      <c r="C14" s="149">
        <f>SUM(C9:C13)</f>
        <v>130844760</v>
      </c>
      <c r="D14" s="148">
        <f>SUM(D9:D13)</f>
        <v>121699082</v>
      </c>
      <c r="E14" s="147">
        <f>SUM(E9:E13)</f>
        <v>17515290</v>
      </c>
      <c r="F14" s="146">
        <f>SUM(F9:F13)</f>
        <v>0</v>
      </c>
      <c r="G14" s="145">
        <f t="shared" si="0"/>
        <v>139214372</v>
      </c>
    </row>
    <row r="15" spans="1:7" ht="15" customHeight="1">
      <c r="A15" s="107" t="s">
        <v>19</v>
      </c>
      <c r="B15" s="106"/>
      <c r="C15" s="143"/>
      <c r="D15" s="123"/>
      <c r="E15" s="122"/>
      <c r="F15" s="122"/>
      <c r="G15" s="102">
        <f t="shared" si="0"/>
        <v>0</v>
      </c>
    </row>
    <row r="16" spans="1:7" ht="15" customHeight="1">
      <c r="A16" s="107" t="s">
        <v>20</v>
      </c>
      <c r="B16" s="106"/>
      <c r="C16" s="143"/>
      <c r="D16" s="123"/>
      <c r="E16" s="122"/>
      <c r="F16" s="122"/>
      <c r="G16" s="102"/>
    </row>
    <row r="17" spans="1:7" ht="15" customHeight="1">
      <c r="A17" s="124" t="s">
        <v>21</v>
      </c>
      <c r="B17" s="106">
        <v>19593703</v>
      </c>
      <c r="C17" s="143">
        <v>21374114</v>
      </c>
      <c r="D17" s="123">
        <v>0</v>
      </c>
      <c r="E17" s="122">
        <v>0</v>
      </c>
      <c r="F17" s="122">
        <v>25648937</v>
      </c>
      <c r="G17" s="102">
        <f aca="true" t="shared" si="1" ref="G17:G25">SUM(D17:F17)</f>
        <v>25648937</v>
      </c>
    </row>
    <row r="18" spans="1:7" ht="15" customHeight="1">
      <c r="A18" s="124" t="s">
        <v>22</v>
      </c>
      <c r="B18" s="106">
        <v>5726864</v>
      </c>
      <c r="C18" s="143">
        <v>6315051</v>
      </c>
      <c r="D18" s="123">
        <v>0</v>
      </c>
      <c r="E18" s="122">
        <v>0</v>
      </c>
      <c r="F18" s="122">
        <v>7578061</v>
      </c>
      <c r="G18" s="102">
        <f t="shared" si="1"/>
        <v>7578061</v>
      </c>
    </row>
    <row r="19" spans="1:7" ht="15" customHeight="1">
      <c r="A19" s="124" t="s">
        <v>23</v>
      </c>
      <c r="B19" s="106">
        <v>0</v>
      </c>
      <c r="C19" s="143">
        <v>0</v>
      </c>
      <c r="D19" s="123">
        <v>0</v>
      </c>
      <c r="E19" s="122">
        <v>0</v>
      </c>
      <c r="F19" s="122">
        <v>0</v>
      </c>
      <c r="G19" s="102">
        <f t="shared" si="1"/>
        <v>0</v>
      </c>
    </row>
    <row r="20" spans="1:7" ht="15" customHeight="1">
      <c r="A20" s="121" t="s">
        <v>24</v>
      </c>
      <c r="B20" s="106">
        <v>6062592</v>
      </c>
      <c r="C20" s="143">
        <f>20453418-C9</f>
        <v>5515427</v>
      </c>
      <c r="D20" s="123">
        <v>8107934</v>
      </c>
      <c r="E20" s="122">
        <v>0</v>
      </c>
      <c r="F20" s="122">
        <v>0</v>
      </c>
      <c r="G20" s="102">
        <f t="shared" si="1"/>
        <v>8107934</v>
      </c>
    </row>
    <row r="21" spans="1:7" s="108" customFormat="1" ht="15" customHeight="1">
      <c r="A21" s="151" t="s">
        <v>25</v>
      </c>
      <c r="B21" s="150">
        <f>SUM(B15:B20)</f>
        <v>31383159</v>
      </c>
      <c r="C21" s="149">
        <f>SUM(C15:C20)</f>
        <v>33204592</v>
      </c>
      <c r="D21" s="148">
        <f>SUM(D15:D20)</f>
        <v>8107934</v>
      </c>
      <c r="E21" s="147">
        <f>SUM(E15:E20)</f>
        <v>0</v>
      </c>
      <c r="F21" s="146">
        <f>SUM(F15:F20)</f>
        <v>33226998</v>
      </c>
      <c r="G21" s="145">
        <f t="shared" si="1"/>
        <v>41334932</v>
      </c>
    </row>
    <row r="22" spans="1:7" ht="15" customHeight="1">
      <c r="A22" s="107" t="s">
        <v>26</v>
      </c>
      <c r="B22" s="106">
        <v>9154646</v>
      </c>
      <c r="C22" s="143">
        <v>9237255</v>
      </c>
      <c r="D22" s="123">
        <v>0</v>
      </c>
      <c r="E22" s="122">
        <v>0</v>
      </c>
      <c r="F22" s="122">
        <v>10160981</v>
      </c>
      <c r="G22" s="102">
        <f t="shared" si="1"/>
        <v>10160981</v>
      </c>
    </row>
    <row r="23" spans="1:7" ht="15" customHeight="1">
      <c r="A23" s="107" t="s">
        <v>27</v>
      </c>
      <c r="B23" s="106">
        <v>384250</v>
      </c>
      <c r="C23" s="143">
        <f>2250+422501</f>
        <v>424751</v>
      </c>
      <c r="D23" s="123">
        <v>0</v>
      </c>
      <c r="E23" s="122">
        <v>458800</v>
      </c>
      <c r="F23" s="122">
        <v>0</v>
      </c>
      <c r="G23" s="102">
        <f t="shared" si="1"/>
        <v>458800</v>
      </c>
    </row>
    <row r="24" spans="1:7" ht="15" customHeight="1">
      <c r="A24" s="107" t="s">
        <v>28</v>
      </c>
      <c r="B24" s="106">
        <v>25476971</v>
      </c>
      <c r="C24" s="143">
        <v>23971272</v>
      </c>
      <c r="D24" s="123">
        <v>0</v>
      </c>
      <c r="E24" s="122">
        <f>28061896+4000</f>
        <v>28065896</v>
      </c>
      <c r="F24" s="122">
        <v>0</v>
      </c>
      <c r="G24" s="102">
        <f t="shared" si="1"/>
        <v>28065896</v>
      </c>
    </row>
    <row r="25" spans="1:7" ht="15" customHeight="1">
      <c r="A25" s="107" t="s">
        <v>29</v>
      </c>
      <c r="B25" s="106">
        <v>0</v>
      </c>
      <c r="C25" s="143">
        <v>0</v>
      </c>
      <c r="D25" s="123">
        <v>0</v>
      </c>
      <c r="E25" s="122">
        <v>0</v>
      </c>
      <c r="F25" s="122">
        <v>0</v>
      </c>
      <c r="G25" s="102">
        <f t="shared" si="1"/>
        <v>0</v>
      </c>
    </row>
    <row r="26" spans="1:7" ht="15" customHeight="1">
      <c r="A26" s="107" t="s">
        <v>30</v>
      </c>
      <c r="B26" s="106"/>
      <c r="C26" s="143"/>
      <c r="D26" s="123"/>
      <c r="E26" s="122"/>
      <c r="F26" s="122"/>
      <c r="G26" s="102"/>
    </row>
    <row r="27" spans="1:7" ht="15" customHeight="1">
      <c r="A27" s="124" t="s">
        <v>31</v>
      </c>
      <c r="B27" s="106">
        <v>1365900</v>
      </c>
      <c r="C27" s="143">
        <v>1145615</v>
      </c>
      <c r="D27" s="123">
        <v>1145615</v>
      </c>
      <c r="E27" s="122">
        <v>0</v>
      </c>
      <c r="F27" s="122">
        <v>0</v>
      </c>
      <c r="G27" s="102">
        <f>SUM(D27:F27)</f>
        <v>1145615</v>
      </c>
    </row>
    <row r="28" spans="1:7" ht="15" customHeight="1">
      <c r="A28" s="124" t="s">
        <v>32</v>
      </c>
      <c r="B28" s="106">
        <v>0</v>
      </c>
      <c r="C28" s="143">
        <v>0</v>
      </c>
      <c r="D28" s="123">
        <v>0</v>
      </c>
      <c r="E28" s="122">
        <v>0</v>
      </c>
      <c r="F28" s="122">
        <v>0</v>
      </c>
      <c r="G28" s="102">
        <f>SUM(D28:F28)</f>
        <v>0</v>
      </c>
    </row>
    <row r="29" spans="1:7" ht="15" customHeight="1" thickBot="1">
      <c r="A29" s="144" t="s">
        <v>33</v>
      </c>
      <c r="B29" s="106">
        <f>14034669</f>
        <v>14034669</v>
      </c>
      <c r="C29" s="143">
        <f>2181960+197762+45215+331349+1528810+44596+13965+780736</f>
        <v>5124393</v>
      </c>
      <c r="D29" s="123">
        <f>2012318</f>
        <v>2012318</v>
      </c>
      <c r="E29" s="114">
        <f>2990217+50000+350173</f>
        <v>3390390</v>
      </c>
      <c r="F29" s="122">
        <f>1071915+37636</f>
        <v>1109551</v>
      </c>
      <c r="G29" s="102">
        <f>SUM(D29:F29)</f>
        <v>6512259</v>
      </c>
    </row>
    <row r="30" spans="1:7" s="108" customFormat="1" ht="15" customHeight="1" thickTop="1">
      <c r="A30" s="133" t="s">
        <v>34</v>
      </c>
      <c r="B30" s="132">
        <f>B14+B21+SUM(B22:B29)</f>
        <v>210275309.8</v>
      </c>
      <c r="C30" s="142">
        <f>C14+C21+SUM(C22:C29)</f>
        <v>203952638</v>
      </c>
      <c r="D30" s="141">
        <f>D14+D21+SUM(D22:D29)</f>
        <v>132964949</v>
      </c>
      <c r="E30" s="110">
        <f>E14+E21+SUM(E22:E29)</f>
        <v>49430376</v>
      </c>
      <c r="F30" s="140">
        <f>F14+F21+SUM(F22:F29)</f>
        <v>44497530</v>
      </c>
      <c r="G30" s="109">
        <f>SUM(D30:F30)</f>
        <v>226892855</v>
      </c>
    </row>
    <row r="31" spans="1:7" ht="15" customHeight="1">
      <c r="A31" s="107"/>
      <c r="B31" s="106"/>
      <c r="C31" s="102"/>
      <c r="D31" s="123"/>
      <c r="E31" s="122"/>
      <c r="F31" s="122"/>
      <c r="G31" s="102"/>
    </row>
    <row r="32" spans="1:7" ht="15" customHeight="1">
      <c r="A32" s="131" t="s">
        <v>35</v>
      </c>
      <c r="B32" s="130"/>
      <c r="C32" s="102"/>
      <c r="D32" s="123"/>
      <c r="E32" s="122"/>
      <c r="F32" s="122"/>
      <c r="G32" s="102"/>
    </row>
    <row r="33" spans="1:10" ht="15" customHeight="1">
      <c r="A33" s="107" t="s">
        <v>36</v>
      </c>
      <c r="B33" s="106"/>
      <c r="C33" s="102"/>
      <c r="D33" s="123"/>
      <c r="E33" s="122"/>
      <c r="F33" s="122"/>
      <c r="G33" s="102"/>
      <c r="J33" s="139"/>
    </row>
    <row r="34" spans="1:11" ht="15" customHeight="1">
      <c r="A34" s="124" t="s">
        <v>37</v>
      </c>
      <c r="B34" s="106">
        <v>61941310</v>
      </c>
      <c r="C34" s="102">
        <f>55791506+1810849+2887889</f>
        <v>60490244</v>
      </c>
      <c r="D34" s="123">
        <f>60147770-88114</f>
        <v>60059656</v>
      </c>
      <c r="E34" s="122">
        <v>2789655</v>
      </c>
      <c r="F34" s="122">
        <v>1901391</v>
      </c>
      <c r="G34" s="102">
        <f aca="true" t="shared" si="2" ref="G34:G45">SUM(D34:F34)</f>
        <v>64750702</v>
      </c>
      <c r="J34" s="138"/>
      <c r="K34" s="138"/>
    </row>
    <row r="35" spans="1:11" ht="15" customHeight="1">
      <c r="A35" s="124" t="s">
        <v>38</v>
      </c>
      <c r="B35" s="106">
        <v>3180832</v>
      </c>
      <c r="C35" s="102">
        <f>675952+3551826+82500</f>
        <v>4310278</v>
      </c>
      <c r="D35" s="123">
        <v>490213</v>
      </c>
      <c r="E35" s="122">
        <v>23415</v>
      </c>
      <c r="F35" s="122">
        <v>4084600</v>
      </c>
      <c r="G35" s="102">
        <f t="shared" si="2"/>
        <v>4598228</v>
      </c>
      <c r="J35" s="138"/>
      <c r="K35" s="138"/>
    </row>
    <row r="36" spans="1:11" ht="15" customHeight="1">
      <c r="A36" s="124" t="s">
        <v>39</v>
      </c>
      <c r="B36" s="106">
        <v>1280966</v>
      </c>
      <c r="C36" s="102">
        <f>26753+431804+995216</f>
        <v>1453773</v>
      </c>
      <c r="D36" s="123">
        <v>23623</v>
      </c>
      <c r="E36" s="122">
        <v>1178568</v>
      </c>
      <c r="F36" s="122">
        <v>436122</v>
      </c>
      <c r="G36" s="102">
        <f t="shared" si="2"/>
        <v>1638313</v>
      </c>
      <c r="J36" s="138"/>
      <c r="K36" s="138"/>
    </row>
    <row r="37" spans="1:11" ht="15" customHeight="1">
      <c r="A37" s="124" t="s">
        <v>40</v>
      </c>
      <c r="B37" s="106">
        <v>15664450</v>
      </c>
      <c r="C37" s="102">
        <f>14579782+969363+703487</f>
        <v>16252632</v>
      </c>
      <c r="D37" s="123">
        <f>15576613-25385-66086</f>
        <v>15485142</v>
      </c>
      <c r="E37" s="122">
        <v>995042</v>
      </c>
      <c r="F37" s="122">
        <v>1066299</v>
      </c>
      <c r="G37" s="102">
        <f t="shared" si="2"/>
        <v>17546483</v>
      </c>
      <c r="J37" s="138"/>
      <c r="K37" s="138"/>
    </row>
    <row r="38" spans="1:11" ht="15" customHeight="1">
      <c r="A38" s="124" t="s">
        <v>41</v>
      </c>
      <c r="B38" s="106">
        <v>12735301</v>
      </c>
      <c r="C38" s="102">
        <f>12056626+622616+1599961</f>
        <v>14279203</v>
      </c>
      <c r="D38" s="123">
        <v>11536392</v>
      </c>
      <c r="E38" s="122">
        <v>1685574</v>
      </c>
      <c r="F38" s="122">
        <v>716008</v>
      </c>
      <c r="G38" s="102">
        <f t="shared" si="2"/>
        <v>13937974</v>
      </c>
      <c r="J38" s="138"/>
      <c r="K38" s="138"/>
    </row>
    <row r="39" spans="1:11" ht="15" customHeight="1">
      <c r="A39" s="124" t="s">
        <v>42</v>
      </c>
      <c r="B39" s="106">
        <v>22480288</v>
      </c>
      <c r="C39" s="102">
        <f>16590742+1735346+1107765</f>
        <v>19433853</v>
      </c>
      <c r="D39" s="123">
        <f>22338719-63716-66085</f>
        <v>22208918</v>
      </c>
      <c r="E39" s="122">
        <v>1221856</v>
      </c>
      <c r="F39" s="122">
        <f>1822113+1109551</f>
        <v>2931664</v>
      </c>
      <c r="G39" s="102">
        <f t="shared" si="2"/>
        <v>26362438</v>
      </c>
      <c r="I39" s="139"/>
      <c r="J39" s="138"/>
      <c r="K39" s="138"/>
    </row>
    <row r="40" spans="1:11" ht="15" customHeight="1">
      <c r="A40" s="124" t="s">
        <v>43</v>
      </c>
      <c r="B40" s="106">
        <v>10897954</v>
      </c>
      <c r="C40" s="102">
        <f>9840447+0+183403</f>
        <v>10023850</v>
      </c>
      <c r="D40" s="123">
        <f>16727776-5275222</f>
        <v>11452554</v>
      </c>
      <c r="E40" s="122">
        <v>226282</v>
      </c>
      <c r="F40" s="122">
        <v>0</v>
      </c>
      <c r="G40" s="102">
        <f t="shared" si="2"/>
        <v>11678836</v>
      </c>
      <c r="J40" s="138"/>
      <c r="K40" s="138"/>
    </row>
    <row r="41" spans="1:11" ht="15" customHeight="1">
      <c r="A41" s="124" t="s">
        <v>44</v>
      </c>
      <c r="B41" s="106">
        <v>30954309</v>
      </c>
      <c r="C41" s="102">
        <f>7394012+24509173+136989</f>
        <v>32040174</v>
      </c>
      <c r="D41" s="123">
        <v>7372782</v>
      </c>
      <c r="E41" s="122">
        <v>120309</v>
      </c>
      <c r="F41" s="122">
        <f>25734631+7599815</f>
        <v>33334446</v>
      </c>
      <c r="G41" s="102">
        <f t="shared" si="2"/>
        <v>40827537</v>
      </c>
      <c r="J41" s="138"/>
      <c r="K41" s="138"/>
    </row>
    <row r="42" spans="1:11" ht="15" customHeight="1">
      <c r="A42" s="107" t="s">
        <v>45</v>
      </c>
      <c r="B42" s="106">
        <v>23808820</v>
      </c>
      <c r="C42" s="102">
        <f>27000+24437724</f>
        <v>24464724</v>
      </c>
      <c r="D42" s="123">
        <v>0</v>
      </c>
      <c r="E42" s="122">
        <f>26074038+74605+325084+334232</f>
        <v>26807959</v>
      </c>
      <c r="F42" s="122">
        <v>27000</v>
      </c>
      <c r="G42" s="102">
        <f t="shared" si="2"/>
        <v>26834959</v>
      </c>
      <c r="J42" s="138"/>
      <c r="K42" s="138"/>
    </row>
    <row r="43" spans="1:7" ht="15" customHeight="1">
      <c r="A43" s="107" t="s">
        <v>29</v>
      </c>
      <c r="B43" s="106">
        <v>0</v>
      </c>
      <c r="C43" s="143">
        <v>0</v>
      </c>
      <c r="D43" s="123">
        <v>0</v>
      </c>
      <c r="E43" s="122">
        <v>0</v>
      </c>
      <c r="F43" s="122">
        <v>0</v>
      </c>
      <c r="G43" s="102">
        <f t="shared" si="2"/>
        <v>0</v>
      </c>
    </row>
    <row r="44" spans="1:7" ht="15" customHeight="1" thickBot="1">
      <c r="A44" s="137" t="s">
        <v>46</v>
      </c>
      <c r="B44" s="106">
        <v>0</v>
      </c>
      <c r="C44" s="102">
        <v>0</v>
      </c>
      <c r="D44" s="136">
        <v>0</v>
      </c>
      <c r="E44" s="114">
        <v>0</v>
      </c>
      <c r="F44" s="135">
        <v>0</v>
      </c>
      <c r="G44" s="134">
        <f t="shared" si="2"/>
        <v>0</v>
      </c>
    </row>
    <row r="45" spans="1:7" s="108" customFormat="1" ht="15" customHeight="1" thickTop="1">
      <c r="A45" s="133" t="s">
        <v>47</v>
      </c>
      <c r="B45" s="132">
        <f>SUM(B34:B44)</f>
        <v>182944230</v>
      </c>
      <c r="C45" s="132">
        <f>SUM(C34:C44)</f>
        <v>182748731</v>
      </c>
      <c r="D45" s="110">
        <f>SUM(D34:D44)</f>
        <v>128629280</v>
      </c>
      <c r="E45" s="110">
        <f>SUM(E34:E44)</f>
        <v>35048660</v>
      </c>
      <c r="F45" s="110">
        <f>SUM(F34:F44)</f>
        <v>44497530</v>
      </c>
      <c r="G45" s="109">
        <f t="shared" si="2"/>
        <v>208175470</v>
      </c>
    </row>
    <row r="46" spans="1:7" ht="15" customHeight="1">
      <c r="A46" s="107"/>
      <c r="B46" s="106"/>
      <c r="C46" s="102"/>
      <c r="D46" s="123"/>
      <c r="E46" s="122"/>
      <c r="F46" s="122"/>
      <c r="G46" s="102"/>
    </row>
    <row r="47" spans="1:7" ht="15" customHeight="1">
      <c r="A47" s="131" t="s">
        <v>48</v>
      </c>
      <c r="B47" s="130"/>
      <c r="C47" s="102"/>
      <c r="D47" s="123"/>
      <c r="E47" s="122"/>
      <c r="F47" s="122"/>
      <c r="G47" s="102"/>
    </row>
    <row r="48" spans="1:7" ht="15" customHeight="1">
      <c r="A48" s="107" t="s">
        <v>49</v>
      </c>
      <c r="B48" s="106"/>
      <c r="C48" s="102"/>
      <c r="D48" s="123"/>
      <c r="E48" s="122"/>
      <c r="F48" s="122"/>
      <c r="G48" s="102"/>
    </row>
    <row r="49" spans="1:7" ht="15" customHeight="1">
      <c r="A49" s="124" t="s">
        <v>50</v>
      </c>
      <c r="B49" s="106">
        <v>11788258.4</v>
      </c>
      <c r="C49" s="102">
        <f>3721053+7685700</f>
        <v>11406753</v>
      </c>
      <c r="D49" s="123">
        <v>4023445</v>
      </c>
      <c r="E49" s="122">
        <v>8207205</v>
      </c>
      <c r="F49" s="122">
        <v>0</v>
      </c>
      <c r="G49" s="102">
        <f>SUM(D49:F49)</f>
        <v>12230650</v>
      </c>
    </row>
    <row r="50" spans="1:7" ht="15" customHeight="1">
      <c r="A50" s="124" t="s">
        <v>51</v>
      </c>
      <c r="B50" s="106">
        <v>0</v>
      </c>
      <c r="C50" s="143">
        <v>0</v>
      </c>
      <c r="D50" s="123">
        <v>0</v>
      </c>
      <c r="E50" s="122">
        <v>0</v>
      </c>
      <c r="F50" s="122">
        <v>0</v>
      </c>
      <c r="G50" s="102">
        <f>SUM(D50:F50)</f>
        <v>0</v>
      </c>
    </row>
    <row r="51" spans="1:7" ht="15" customHeight="1">
      <c r="A51" s="121" t="s">
        <v>52</v>
      </c>
      <c r="B51" s="106">
        <v>0</v>
      </c>
      <c r="C51" s="143">
        <v>0</v>
      </c>
      <c r="D51" s="123">
        <v>0</v>
      </c>
      <c r="E51" s="117">
        <v>0</v>
      </c>
      <c r="F51" s="122">
        <v>0</v>
      </c>
      <c r="G51" s="102">
        <f>SUM(D51:F51)</f>
        <v>0</v>
      </c>
    </row>
    <row r="52" spans="1:7" ht="15" customHeight="1">
      <c r="A52" s="129" t="s">
        <v>53</v>
      </c>
      <c r="B52" s="128">
        <f>SUM(B49:B51)</f>
        <v>11788258.4</v>
      </c>
      <c r="C52" s="128">
        <f>SUM(C49:C51)</f>
        <v>11406753</v>
      </c>
      <c r="D52" s="127">
        <f>SUM(D49:D51)</f>
        <v>4023445</v>
      </c>
      <c r="E52" s="117">
        <f>SUM(E49:E51)</f>
        <v>8207205</v>
      </c>
      <c r="F52" s="126">
        <f>SUM(F49:F51)</f>
        <v>0</v>
      </c>
      <c r="G52" s="125">
        <f>SUM(D52:F52)</f>
        <v>12230650</v>
      </c>
    </row>
    <row r="53" spans="1:7" ht="15" customHeight="1">
      <c r="A53" s="107"/>
      <c r="B53" s="106"/>
      <c r="C53" s="102"/>
      <c r="D53" s="123"/>
      <c r="E53" s="122"/>
      <c r="F53" s="122"/>
      <c r="G53" s="102"/>
    </row>
    <row r="54" spans="1:7" ht="15" customHeight="1">
      <c r="A54" s="107" t="s">
        <v>54</v>
      </c>
      <c r="B54" s="106"/>
      <c r="C54" s="102"/>
      <c r="D54" s="123"/>
      <c r="E54" s="122"/>
      <c r="F54" s="122"/>
      <c r="G54" s="102"/>
    </row>
    <row r="55" spans="1:7" ht="15" customHeight="1">
      <c r="A55" s="124" t="s">
        <v>55</v>
      </c>
      <c r="B55" s="106">
        <v>0</v>
      </c>
      <c r="C55" s="143">
        <v>0</v>
      </c>
      <c r="D55" s="123">
        <v>0</v>
      </c>
      <c r="E55" s="122">
        <v>0</v>
      </c>
      <c r="F55" s="122">
        <v>0</v>
      </c>
      <c r="G55" s="102">
        <f>SUM(D55:F55)</f>
        <v>0</v>
      </c>
    </row>
    <row r="56" spans="1:7" ht="15" customHeight="1">
      <c r="A56" s="121" t="s">
        <v>46</v>
      </c>
      <c r="B56" s="120">
        <f>15542821.4</f>
        <v>15542821.4</v>
      </c>
      <c r="C56" s="119">
        <f>2754914+15460375+3268443+4352955-4769197-11270336</f>
        <v>9797154</v>
      </c>
      <c r="D56" s="118">
        <f>1340878-1028654</f>
        <v>312224</v>
      </c>
      <c r="E56" s="117">
        <f>11935482+734199-6501300-24605+25089+335448-329802</f>
        <v>6174511</v>
      </c>
      <c r="F56" s="167">
        <v>0</v>
      </c>
      <c r="G56" s="102">
        <f>SUM(D56:F56)</f>
        <v>6486735</v>
      </c>
    </row>
    <row r="57" spans="1:7" ht="15" customHeight="1" thickBot="1">
      <c r="A57" s="116" t="s">
        <v>57</v>
      </c>
      <c r="B57" s="115">
        <f>SUM(B55:B56)</f>
        <v>15542821.4</v>
      </c>
      <c r="C57" s="115">
        <f>SUM(C55:C56)</f>
        <v>9797154</v>
      </c>
      <c r="D57" s="114">
        <f>SUM(D56:D56)</f>
        <v>312224</v>
      </c>
      <c r="E57" s="114">
        <f>SUM(E56:E56)</f>
        <v>6174511</v>
      </c>
      <c r="F57" s="114">
        <f>SUM(F56:F56)</f>
        <v>0</v>
      </c>
      <c r="G57" s="113">
        <f>SUM(D57:F57)</f>
        <v>6486735</v>
      </c>
    </row>
    <row r="58" spans="1:7" s="108" customFormat="1" ht="15" customHeight="1" thickTop="1">
      <c r="A58" s="112" t="s">
        <v>58</v>
      </c>
      <c r="B58" s="111">
        <f>B45+B52+B57</f>
        <v>210275309.8</v>
      </c>
      <c r="C58" s="111">
        <f>C45+C52+C57</f>
        <v>203952638</v>
      </c>
      <c r="D58" s="110">
        <f>D45+D52+D57</f>
        <v>132964949</v>
      </c>
      <c r="E58" s="110">
        <f>E45+E52+E57</f>
        <v>49430376</v>
      </c>
      <c r="F58" s="110">
        <f>F45+F52+F57</f>
        <v>44497530</v>
      </c>
      <c r="G58" s="109">
        <f>SUM(D58:F58)</f>
        <v>226892855</v>
      </c>
    </row>
    <row r="59" spans="1:7" ht="15" customHeight="1">
      <c r="A59" s="107"/>
      <c r="B59" s="106"/>
      <c r="C59" s="102"/>
      <c r="D59" s="105"/>
      <c r="E59" s="104"/>
      <c r="F59" s="103"/>
      <c r="G59" s="102"/>
    </row>
    <row r="60" spans="1:7" ht="15" customHeight="1" thickBot="1">
      <c r="A60" s="101" t="s">
        <v>59</v>
      </c>
      <c r="B60" s="100">
        <f>B30-B58</f>
        <v>0</v>
      </c>
      <c r="C60" s="100">
        <f>C30-C58</f>
        <v>0</v>
      </c>
      <c r="D60" s="99">
        <f>D30-D58</f>
        <v>0</v>
      </c>
      <c r="E60" s="98">
        <f>E30-E58</f>
        <v>0</v>
      </c>
      <c r="F60" s="97">
        <f>F30-F58</f>
        <v>0</v>
      </c>
      <c r="G60" s="96">
        <f>SUM(D60:F60)</f>
        <v>0</v>
      </c>
    </row>
    <row r="62" spans="1:4" ht="15">
      <c r="A62" s="95"/>
      <c r="B62" s="95"/>
      <c r="C62" s="95"/>
      <c r="D62" s="94"/>
    </row>
    <row r="63" spans="1:3" ht="15">
      <c r="A63" s="93"/>
      <c r="B63" s="93"/>
      <c r="C63" s="93"/>
    </row>
    <row r="64" spans="1:3" ht="15">
      <c r="A64" s="92"/>
      <c r="B64" s="92"/>
      <c r="C64" s="92"/>
    </row>
    <row r="65" spans="1:7" ht="15">
      <c r="A65" s="92"/>
      <c r="B65" s="92"/>
      <c r="C65" s="92"/>
      <c r="D65" s="90"/>
      <c r="E65" s="90"/>
      <c r="F65" s="90"/>
      <c r="G65" s="90"/>
    </row>
    <row r="66" spans="1:7" ht="15">
      <c r="A66" s="92"/>
      <c r="B66" s="92"/>
      <c r="C66" s="92"/>
      <c r="D66" s="90"/>
      <c r="E66" s="90"/>
      <c r="F66" s="90"/>
      <c r="G66" s="90"/>
    </row>
    <row r="67" spans="1:7" ht="15">
      <c r="A67" s="92"/>
      <c r="B67" s="92"/>
      <c r="C67" s="92"/>
      <c r="D67" s="90"/>
      <c r="E67" s="90"/>
      <c r="F67" s="90"/>
      <c r="G67" s="90"/>
    </row>
    <row r="68" spans="1:7" ht="15">
      <c r="A68" s="92"/>
      <c r="B68" s="92"/>
      <c r="C68" s="92"/>
      <c r="D68" s="90"/>
      <c r="E68" s="90"/>
      <c r="F68" s="90"/>
      <c r="G68" s="90"/>
    </row>
    <row r="69" spans="1:12" ht="1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</row>
    <row r="70" spans="1:12" ht="1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</row>
    <row r="71" spans="1:12" ht="1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</row>
    <row r="72" spans="1:12" ht="1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</row>
    <row r="73" spans="1:12" ht="1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1:12" ht="1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</row>
    <row r="75" spans="1:12" ht="1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</row>
    <row r="76" spans="1:12" ht="1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</row>
    <row r="77" spans="1:12" ht="1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</row>
    <row r="78" spans="1:12" ht="1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</row>
    <row r="79" spans="1:12" ht="1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0" spans="1:12" ht="1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</row>
    <row r="81" spans="1:12" ht="1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1:12" ht="1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</row>
  </sheetData>
  <sheetProtection/>
  <mergeCells count="3">
    <mergeCell ref="D5:G5"/>
    <mergeCell ref="A5:A6"/>
    <mergeCell ref="B5:C5"/>
  </mergeCells>
  <printOptions horizontalCentered="1"/>
  <pageMargins left="0.75" right="0.75" top="0.75" bottom="0.75" header="0.3" footer="0.3"/>
  <pageSetup fitToHeight="1" fitToWidth="1" horizontalDpi="600" verticalDpi="600" orientation="portrait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51.7109375" style="2" customWidth="1"/>
    <col min="2" max="2" width="17.7109375" style="69" customWidth="1"/>
    <col min="3" max="3" width="17.7109375" style="2" customWidth="1"/>
    <col min="4" max="7" width="17.7109375" style="64" customWidth="1"/>
    <col min="8" max="8" width="9.140625" style="2" customWidth="1"/>
    <col min="9" max="9" width="14.421875" style="2" customWidth="1"/>
    <col min="10" max="16384" width="9.140625" style="2" customWidth="1"/>
  </cols>
  <sheetData>
    <row r="1" spans="1:7" ht="15.75">
      <c r="A1" s="1" t="s">
        <v>74</v>
      </c>
      <c r="B1" s="1"/>
      <c r="C1" s="1"/>
      <c r="D1" s="1"/>
      <c r="E1" s="1"/>
      <c r="F1" s="1"/>
      <c r="G1" s="1"/>
    </row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5.75" thickBot="1">
      <c r="A4" s="4"/>
      <c r="B4" s="5"/>
      <c r="C4" s="4"/>
      <c r="D4" s="4"/>
      <c r="E4" s="4"/>
      <c r="F4" s="4"/>
      <c r="G4" s="4"/>
    </row>
    <row r="5" spans="1:7" ht="15.75" customHeight="1" thickBot="1">
      <c r="A5" s="203" t="s">
        <v>2</v>
      </c>
      <c r="B5" s="205" t="s">
        <v>3</v>
      </c>
      <c r="C5" s="206"/>
      <c r="D5" s="207" t="s">
        <v>4</v>
      </c>
      <c r="E5" s="208"/>
      <c r="F5" s="208"/>
      <c r="G5" s="209"/>
    </row>
    <row r="6" spans="1:7" s="9" customFormat="1" ht="49.5" customHeight="1" thickBot="1">
      <c r="A6" s="204"/>
      <c r="B6" s="6" t="s">
        <v>5</v>
      </c>
      <c r="C6" s="6" t="s">
        <v>6</v>
      </c>
      <c r="D6" s="7" t="s">
        <v>7</v>
      </c>
      <c r="E6" s="8" t="s">
        <v>8</v>
      </c>
      <c r="F6" s="8" t="s">
        <v>9</v>
      </c>
      <c r="G6" s="6" t="s">
        <v>10</v>
      </c>
    </row>
    <row r="7" spans="1:7" ht="15.75">
      <c r="A7" s="10" t="s">
        <v>11</v>
      </c>
      <c r="B7" s="11"/>
      <c r="C7" s="12"/>
      <c r="D7" s="13"/>
      <c r="E7" s="14"/>
      <c r="F7" s="14"/>
      <c r="G7" s="15"/>
    </row>
    <row r="8" spans="1:7" ht="15" customHeight="1">
      <c r="A8" s="16" t="s">
        <v>12</v>
      </c>
      <c r="B8" s="17"/>
      <c r="C8" s="12"/>
      <c r="D8" s="13"/>
      <c r="E8" s="14"/>
      <c r="F8" s="14"/>
      <c r="G8" s="12"/>
    </row>
    <row r="9" spans="1:7" ht="15">
      <c r="A9" s="18" t="s">
        <v>13</v>
      </c>
      <c r="B9" s="17">
        <v>13741293</v>
      </c>
      <c r="C9" s="12">
        <v>14030265</v>
      </c>
      <c r="D9" s="13">
        <v>13741293</v>
      </c>
      <c r="E9" s="14">
        <v>0</v>
      </c>
      <c r="F9" s="14">
        <v>0</v>
      </c>
      <c r="G9" s="12">
        <v>13741293</v>
      </c>
    </row>
    <row r="10" spans="1:7" ht="15">
      <c r="A10" s="18" t="s">
        <v>14</v>
      </c>
      <c r="B10" s="17">
        <v>83584373</v>
      </c>
      <c r="C10" s="12">
        <v>87716238</v>
      </c>
      <c r="D10" s="13">
        <v>91166508</v>
      </c>
      <c r="E10" s="14">
        <v>0</v>
      </c>
      <c r="F10" s="14">
        <v>0</v>
      </c>
      <c r="G10" s="12">
        <v>91166508</v>
      </c>
    </row>
    <row r="11" spans="1:7" ht="15">
      <c r="A11" s="18" t="s">
        <v>15</v>
      </c>
      <c r="B11" s="17">
        <v>47896280</v>
      </c>
      <c r="C11" s="12">
        <v>45845034</v>
      </c>
      <c r="D11" s="13">
        <v>50523184</v>
      </c>
      <c r="E11" s="14">
        <v>0</v>
      </c>
      <c r="F11" s="14">
        <v>0</v>
      </c>
      <c r="G11" s="12">
        <v>50523184</v>
      </c>
    </row>
    <row r="12" spans="1:7" ht="15">
      <c r="A12" s="18" t="s">
        <v>16</v>
      </c>
      <c r="B12" s="17">
        <v>20050015</v>
      </c>
      <c r="C12" s="12">
        <v>20294893</v>
      </c>
      <c r="D12" s="13">
        <v>0</v>
      </c>
      <c r="E12" s="14">
        <v>20558673</v>
      </c>
      <c r="F12" s="14">
        <v>0</v>
      </c>
      <c r="G12" s="12">
        <v>20558673</v>
      </c>
    </row>
    <row r="13" spans="1:7" ht="15">
      <c r="A13" s="19" t="s">
        <v>17</v>
      </c>
      <c r="B13" s="17">
        <v>19126483</v>
      </c>
      <c r="C13" s="12">
        <v>17920100</v>
      </c>
      <c r="D13" s="13">
        <v>12968340</v>
      </c>
      <c r="E13" s="14">
        <v>5099466</v>
      </c>
      <c r="F13" s="14">
        <v>0</v>
      </c>
      <c r="G13" s="12">
        <v>18067806</v>
      </c>
    </row>
    <row r="14" spans="1:7" s="25" customFormat="1" ht="15.75">
      <c r="A14" s="20" t="s">
        <v>18</v>
      </c>
      <c r="B14" s="21">
        <v>184398444</v>
      </c>
      <c r="C14" s="22">
        <v>185806530</v>
      </c>
      <c r="D14" s="23">
        <v>168399325</v>
      </c>
      <c r="E14" s="24">
        <v>25658139</v>
      </c>
      <c r="F14" s="24">
        <v>0</v>
      </c>
      <c r="G14" s="22">
        <v>194057464</v>
      </c>
    </row>
    <row r="15" spans="1:7" ht="15">
      <c r="A15" s="16" t="s">
        <v>19</v>
      </c>
      <c r="B15" s="17">
        <v>5085</v>
      </c>
      <c r="C15" s="12">
        <v>33032</v>
      </c>
      <c r="D15" s="13">
        <v>0</v>
      </c>
      <c r="E15" s="14">
        <v>5115</v>
      </c>
      <c r="F15" s="14"/>
      <c r="G15" s="12">
        <v>5115</v>
      </c>
    </row>
    <row r="16" spans="1:7" ht="15">
      <c r="A16" s="16" t="s">
        <v>20</v>
      </c>
      <c r="B16" s="17"/>
      <c r="C16" s="12"/>
      <c r="D16" s="13"/>
      <c r="E16" s="14"/>
      <c r="F16" s="14"/>
      <c r="G16" s="12"/>
    </row>
    <row r="17" spans="1:7" ht="15">
      <c r="A17" s="18" t="s">
        <v>21</v>
      </c>
      <c r="B17" s="17">
        <v>30033096</v>
      </c>
      <c r="C17" s="12">
        <v>28227571</v>
      </c>
      <c r="D17" s="13">
        <v>0</v>
      </c>
      <c r="E17" s="14">
        <v>0</v>
      </c>
      <c r="F17" s="14">
        <v>28636620</v>
      </c>
      <c r="G17" s="12">
        <v>28636620</v>
      </c>
    </row>
    <row r="18" spans="1:7" ht="15">
      <c r="A18" s="18" t="s">
        <v>22</v>
      </c>
      <c r="B18" s="17">
        <v>9146672</v>
      </c>
      <c r="C18" s="12">
        <v>9276436</v>
      </c>
      <c r="D18" s="13">
        <v>0</v>
      </c>
      <c r="E18" s="14">
        <v>0</v>
      </c>
      <c r="F18" s="14">
        <v>10492231</v>
      </c>
      <c r="G18" s="12">
        <v>10492231</v>
      </c>
    </row>
    <row r="19" spans="1:7" ht="15">
      <c r="A19" s="18" t="s">
        <v>23</v>
      </c>
      <c r="B19" s="17">
        <v>0</v>
      </c>
      <c r="C19" s="12">
        <v>0</v>
      </c>
      <c r="D19" s="13">
        <v>0</v>
      </c>
      <c r="E19" s="14">
        <v>0</v>
      </c>
      <c r="F19" s="14">
        <v>0</v>
      </c>
      <c r="G19" s="12">
        <v>0</v>
      </c>
    </row>
    <row r="20" spans="1:7" ht="15">
      <c r="A20" s="19" t="s">
        <v>24</v>
      </c>
      <c r="B20" s="17">
        <v>12210108</v>
      </c>
      <c r="C20" s="12">
        <v>11921136</v>
      </c>
      <c r="D20" s="13">
        <v>14805248</v>
      </c>
      <c r="E20" s="14">
        <v>0</v>
      </c>
      <c r="F20" s="14">
        <v>0</v>
      </c>
      <c r="G20" s="12">
        <v>14805248</v>
      </c>
    </row>
    <row r="21" spans="1:7" s="25" customFormat="1" ht="15.75">
      <c r="A21" s="20" t="s">
        <v>25</v>
      </c>
      <c r="B21" s="21">
        <v>51394961</v>
      </c>
      <c r="C21" s="22">
        <v>49458175</v>
      </c>
      <c r="D21" s="23">
        <v>14805248</v>
      </c>
      <c r="E21" s="24">
        <v>5115</v>
      </c>
      <c r="F21" s="24">
        <v>39128851</v>
      </c>
      <c r="G21" s="22">
        <v>53939214</v>
      </c>
    </row>
    <row r="22" spans="1:7" ht="15">
      <c r="A22" s="16" t="s">
        <v>26</v>
      </c>
      <c r="B22" s="17">
        <v>7713944</v>
      </c>
      <c r="C22" s="12">
        <v>7078545</v>
      </c>
      <c r="D22" s="13">
        <v>0</v>
      </c>
      <c r="E22" s="14">
        <v>0</v>
      </c>
      <c r="F22" s="14">
        <v>7286304</v>
      </c>
      <c r="G22" s="12">
        <v>7286304</v>
      </c>
    </row>
    <row r="23" spans="1:7" ht="15">
      <c r="A23" s="16" t="s">
        <v>27</v>
      </c>
      <c r="B23" s="17">
        <v>3787112</v>
      </c>
      <c r="C23" s="12">
        <v>6549929</v>
      </c>
      <c r="D23" s="13">
        <v>0</v>
      </c>
      <c r="E23" s="14">
        <v>6445334</v>
      </c>
      <c r="F23" s="14">
        <v>0</v>
      </c>
      <c r="G23" s="26">
        <v>6445334</v>
      </c>
    </row>
    <row r="24" spans="1:7" ht="15">
      <c r="A24" s="16" t="s">
        <v>28</v>
      </c>
      <c r="B24" s="17">
        <v>533491</v>
      </c>
      <c r="C24" s="12">
        <v>528181</v>
      </c>
      <c r="D24" s="13">
        <v>0</v>
      </c>
      <c r="E24" s="14">
        <v>547145</v>
      </c>
      <c r="F24" s="14">
        <v>0</v>
      </c>
      <c r="G24" s="12">
        <v>547145</v>
      </c>
    </row>
    <row r="25" spans="1:7" ht="15">
      <c r="A25" s="16" t="s">
        <v>29</v>
      </c>
      <c r="B25" s="17">
        <v>0</v>
      </c>
      <c r="C25" s="12">
        <v>0</v>
      </c>
      <c r="D25" s="13">
        <v>0</v>
      </c>
      <c r="E25" s="14">
        <v>0</v>
      </c>
      <c r="F25" s="14">
        <v>0</v>
      </c>
      <c r="G25" s="12">
        <v>0</v>
      </c>
    </row>
    <row r="26" spans="1:7" ht="15">
      <c r="A26" s="16" t="s">
        <v>30</v>
      </c>
      <c r="B26" s="17"/>
      <c r="C26" s="12"/>
      <c r="D26" s="13"/>
      <c r="E26" s="14"/>
      <c r="F26" s="14"/>
      <c r="G26" s="12"/>
    </row>
    <row r="27" spans="1:7" ht="15">
      <c r="A27" s="18" t="s">
        <v>31</v>
      </c>
      <c r="B27" s="17">
        <v>3000000</v>
      </c>
      <c r="C27" s="12">
        <v>3065616</v>
      </c>
      <c r="D27" s="13">
        <v>3000000</v>
      </c>
      <c r="E27" s="14">
        <v>0</v>
      </c>
      <c r="F27" s="14">
        <v>0</v>
      </c>
      <c r="G27" s="12">
        <v>3000000</v>
      </c>
    </row>
    <row r="28" spans="1:7" ht="15">
      <c r="A28" s="18" t="s">
        <v>32</v>
      </c>
      <c r="B28" s="17">
        <v>4978873</v>
      </c>
      <c r="C28" s="12">
        <v>4978873</v>
      </c>
      <c r="D28" s="13">
        <v>5080236</v>
      </c>
      <c r="E28" s="14">
        <v>0</v>
      </c>
      <c r="F28" s="14">
        <v>0</v>
      </c>
      <c r="G28" s="12">
        <v>5080236</v>
      </c>
    </row>
    <row r="29" spans="1:7" ht="15.75" thickBot="1">
      <c r="A29" s="27" t="s">
        <v>33</v>
      </c>
      <c r="B29" s="17">
        <v>6524553</v>
      </c>
      <c r="C29" s="12">
        <v>6403285</v>
      </c>
      <c r="D29" s="13">
        <v>2042636</v>
      </c>
      <c r="E29" s="28">
        <v>4374368</v>
      </c>
      <c r="F29" s="14">
        <v>0</v>
      </c>
      <c r="G29" s="29">
        <v>6417004</v>
      </c>
    </row>
    <row r="30" spans="1:7" s="25" customFormat="1" ht="16.5" thickTop="1">
      <c r="A30" s="30" t="s">
        <v>34</v>
      </c>
      <c r="B30" s="31">
        <v>262331378</v>
      </c>
      <c r="C30" s="32">
        <v>263869134</v>
      </c>
      <c r="D30" s="33">
        <v>193327445</v>
      </c>
      <c r="E30" s="34">
        <v>37030101</v>
      </c>
      <c r="F30" s="35">
        <v>46415155</v>
      </c>
      <c r="G30" s="32">
        <v>276772701</v>
      </c>
    </row>
    <row r="31" spans="1:7" ht="8.25" customHeight="1">
      <c r="A31" s="16"/>
      <c r="B31" s="17"/>
      <c r="C31" s="12"/>
      <c r="D31" s="13"/>
      <c r="E31" s="14"/>
      <c r="F31" s="14"/>
      <c r="G31" s="12"/>
    </row>
    <row r="32" spans="1:9" ht="15.75">
      <c r="A32" s="10" t="s">
        <v>35</v>
      </c>
      <c r="B32" s="11"/>
      <c r="C32" s="12"/>
      <c r="D32" s="13"/>
      <c r="E32" s="14"/>
      <c r="F32" s="14"/>
      <c r="G32" s="12"/>
      <c r="I32" s="36"/>
    </row>
    <row r="33" spans="1:7" ht="15">
      <c r="A33" s="16" t="s">
        <v>36</v>
      </c>
      <c r="B33" s="17"/>
      <c r="C33" s="12"/>
      <c r="D33" s="13"/>
      <c r="E33" s="14"/>
      <c r="F33" s="14"/>
      <c r="G33" s="12"/>
    </row>
    <row r="34" spans="1:7" ht="15">
      <c r="A34" s="18" t="s">
        <v>37</v>
      </c>
      <c r="B34" s="17">
        <v>119471053</v>
      </c>
      <c r="C34" s="12">
        <v>120733813</v>
      </c>
      <c r="D34" s="13">
        <v>94195672</v>
      </c>
      <c r="E34" s="14">
        <v>25590694</v>
      </c>
      <c r="F34" s="14">
        <v>8329949</v>
      </c>
      <c r="G34" s="12">
        <v>128116315</v>
      </c>
    </row>
    <row r="35" spans="1:7" ht="15">
      <c r="A35" s="18" t="s">
        <v>38</v>
      </c>
      <c r="B35" s="17">
        <v>7475563</v>
      </c>
      <c r="C35" s="12">
        <v>5686107</v>
      </c>
      <c r="D35" s="13">
        <v>22000</v>
      </c>
      <c r="E35" s="14">
        <v>0</v>
      </c>
      <c r="F35" s="14">
        <v>6577705</v>
      </c>
      <c r="G35" s="12">
        <v>6599705</v>
      </c>
    </row>
    <row r="36" spans="1:7" ht="15">
      <c r="A36" s="18" t="s">
        <v>39</v>
      </c>
      <c r="B36" s="17">
        <v>3780502</v>
      </c>
      <c r="C36" s="12">
        <v>3197987</v>
      </c>
      <c r="D36" s="13">
        <v>515064</v>
      </c>
      <c r="E36" s="14">
        <v>2089643</v>
      </c>
      <c r="F36" s="14">
        <v>1759800</v>
      </c>
      <c r="G36" s="12">
        <v>4364507</v>
      </c>
    </row>
    <row r="37" spans="1:7" ht="15">
      <c r="A37" s="18" t="s">
        <v>40</v>
      </c>
      <c r="B37" s="17">
        <v>27198491</v>
      </c>
      <c r="C37" s="12">
        <v>27444654</v>
      </c>
      <c r="D37" s="13">
        <v>27216819</v>
      </c>
      <c r="E37" s="14">
        <v>137482</v>
      </c>
      <c r="F37" s="14">
        <v>87537</v>
      </c>
      <c r="G37" s="12">
        <v>27441838</v>
      </c>
    </row>
    <row r="38" spans="1:7" ht="15">
      <c r="A38" s="18" t="s">
        <v>41</v>
      </c>
      <c r="B38" s="17">
        <v>16275768</v>
      </c>
      <c r="C38" s="12">
        <v>15825850</v>
      </c>
      <c r="D38" s="13">
        <v>11664200</v>
      </c>
      <c r="E38" s="14">
        <v>6838116</v>
      </c>
      <c r="F38" s="14">
        <v>15499</v>
      </c>
      <c r="G38" s="12">
        <v>18517815</v>
      </c>
    </row>
    <row r="39" spans="1:7" ht="15">
      <c r="A39" s="18" t="s">
        <v>42</v>
      </c>
      <c r="B39" s="17">
        <v>17556362</v>
      </c>
      <c r="C39" s="12">
        <v>20661987</v>
      </c>
      <c r="D39" s="13">
        <v>15975429</v>
      </c>
      <c r="E39" s="14">
        <v>163655</v>
      </c>
      <c r="F39" s="14">
        <v>3637565</v>
      </c>
      <c r="G39" s="12">
        <v>19776649</v>
      </c>
    </row>
    <row r="40" spans="1:7" ht="15">
      <c r="A40" s="18" t="s">
        <v>43</v>
      </c>
      <c r="B40" s="17">
        <v>10524633</v>
      </c>
      <c r="C40" s="12">
        <v>10603482</v>
      </c>
      <c r="D40" s="13">
        <v>10584295</v>
      </c>
      <c r="E40" s="14">
        <v>0</v>
      </c>
      <c r="F40" s="14">
        <v>48420</v>
      </c>
      <c r="G40" s="12">
        <v>10632715</v>
      </c>
    </row>
    <row r="41" spans="1:7" ht="15">
      <c r="A41" s="18" t="s">
        <v>44</v>
      </c>
      <c r="B41" s="17">
        <v>42590569</v>
      </c>
      <c r="C41" s="12">
        <v>35907299</v>
      </c>
      <c r="D41" s="13">
        <v>11035314</v>
      </c>
      <c r="E41" s="14">
        <v>1221205</v>
      </c>
      <c r="F41" s="14">
        <v>27796989</v>
      </c>
      <c r="G41" s="12">
        <v>40053508</v>
      </c>
    </row>
    <row r="42" spans="1:7" ht="15">
      <c r="A42" s="16" t="s">
        <v>45</v>
      </c>
      <c r="B42" s="17">
        <v>258619</v>
      </c>
      <c r="C42" s="12">
        <v>742035</v>
      </c>
      <c r="D42" s="13">
        <v>0</v>
      </c>
      <c r="E42" s="14">
        <v>989306</v>
      </c>
      <c r="F42" s="14">
        <v>0</v>
      </c>
      <c r="G42" s="12">
        <v>989306</v>
      </c>
    </row>
    <row r="43" spans="1:7" ht="15">
      <c r="A43" s="16" t="s">
        <v>29</v>
      </c>
      <c r="B43" s="17">
        <v>0</v>
      </c>
      <c r="C43" s="12">
        <v>0</v>
      </c>
      <c r="D43" s="13">
        <v>0</v>
      </c>
      <c r="E43" s="14">
        <v>0</v>
      </c>
      <c r="F43" s="14">
        <v>0</v>
      </c>
      <c r="G43" s="12">
        <v>0</v>
      </c>
    </row>
    <row r="44" spans="1:7" ht="15.75" thickBot="1">
      <c r="A44" s="37" t="s">
        <v>46</v>
      </c>
      <c r="B44" s="17">
        <v>0</v>
      </c>
      <c r="C44" s="12">
        <v>0</v>
      </c>
      <c r="D44" s="13">
        <v>0</v>
      </c>
      <c r="E44" s="28">
        <v>0</v>
      </c>
      <c r="F44" s="14">
        <v>0</v>
      </c>
      <c r="G44" s="12">
        <v>0</v>
      </c>
    </row>
    <row r="45" spans="1:7" s="25" customFormat="1" ht="16.5" thickTop="1">
      <c r="A45" s="30" t="s">
        <v>47</v>
      </c>
      <c r="B45" s="31">
        <v>245131560</v>
      </c>
      <c r="C45" s="32">
        <v>240803214</v>
      </c>
      <c r="D45" s="33">
        <v>171208793</v>
      </c>
      <c r="E45" s="34">
        <v>37030101</v>
      </c>
      <c r="F45" s="35">
        <v>48253464</v>
      </c>
      <c r="G45" s="32">
        <v>256492358</v>
      </c>
    </row>
    <row r="46" spans="1:7" ht="6.75" customHeight="1">
      <c r="A46" s="16"/>
      <c r="B46" s="17"/>
      <c r="C46" s="12"/>
      <c r="D46" s="13"/>
      <c r="E46" s="14"/>
      <c r="F46" s="14"/>
      <c r="G46" s="12"/>
    </row>
    <row r="47" spans="1:7" ht="15.75">
      <c r="A47" s="10" t="s">
        <v>48</v>
      </c>
      <c r="B47" s="11"/>
      <c r="C47" s="12"/>
      <c r="D47" s="13"/>
      <c r="E47" s="14"/>
      <c r="F47" s="14"/>
      <c r="G47" s="12"/>
    </row>
    <row r="48" spans="1:7" ht="15">
      <c r="A48" s="16" t="s">
        <v>49</v>
      </c>
      <c r="B48" s="17"/>
      <c r="C48" s="12"/>
      <c r="D48" s="13"/>
      <c r="E48" s="14"/>
      <c r="F48" s="14"/>
      <c r="G48" s="12"/>
    </row>
    <row r="49" spans="1:7" ht="15">
      <c r="A49" s="18" t="s">
        <v>50</v>
      </c>
      <c r="B49" s="17">
        <v>6937786</v>
      </c>
      <c r="C49" s="12">
        <v>6937786</v>
      </c>
      <c r="D49" s="13">
        <v>6815630</v>
      </c>
      <c r="E49" s="14">
        <v>0</v>
      </c>
      <c r="F49" s="14">
        <v>0</v>
      </c>
      <c r="G49" s="12">
        <v>6815630</v>
      </c>
    </row>
    <row r="50" spans="1:7" ht="15">
      <c r="A50" s="18" t="s">
        <v>51</v>
      </c>
      <c r="B50" s="17">
        <v>0</v>
      </c>
      <c r="C50" s="12">
        <v>0</v>
      </c>
      <c r="D50" s="13">
        <v>0</v>
      </c>
      <c r="E50" s="14">
        <v>0</v>
      </c>
      <c r="F50" s="14">
        <v>0</v>
      </c>
      <c r="G50" s="12">
        <v>0</v>
      </c>
    </row>
    <row r="51" spans="1:7" ht="15">
      <c r="A51" s="19" t="s">
        <v>52</v>
      </c>
      <c r="B51" s="17">
        <v>0</v>
      </c>
      <c r="C51" s="12">
        <v>0</v>
      </c>
      <c r="D51" s="13">
        <v>0</v>
      </c>
      <c r="E51" s="38">
        <v>0</v>
      </c>
      <c r="F51" s="14">
        <v>0</v>
      </c>
      <c r="G51" s="12">
        <v>0</v>
      </c>
    </row>
    <row r="52" spans="1:7" ht="15">
      <c r="A52" s="39" t="s">
        <v>53</v>
      </c>
      <c r="B52" s="40">
        <v>6937786</v>
      </c>
      <c r="C52" s="41">
        <v>6937786</v>
      </c>
      <c r="D52" s="42">
        <v>6815630</v>
      </c>
      <c r="E52" s="38">
        <v>0</v>
      </c>
      <c r="F52" s="43">
        <v>0</v>
      </c>
      <c r="G52" s="41">
        <v>6815630</v>
      </c>
    </row>
    <row r="53" spans="1:7" ht="15">
      <c r="A53" s="16"/>
      <c r="B53" s="17"/>
      <c r="C53" s="12"/>
      <c r="D53" s="13"/>
      <c r="E53" s="14"/>
      <c r="F53" s="14"/>
      <c r="G53" s="12"/>
    </row>
    <row r="54" spans="1:7" ht="15">
      <c r="A54" s="16" t="s">
        <v>54</v>
      </c>
      <c r="B54" s="17"/>
      <c r="C54" s="12"/>
      <c r="D54" s="13"/>
      <c r="E54" s="14"/>
      <c r="F54" s="14"/>
      <c r="G54" s="12"/>
    </row>
    <row r="55" spans="1:7" ht="15">
      <c r="A55" s="18" t="s">
        <v>55</v>
      </c>
      <c r="B55" s="17">
        <v>0</v>
      </c>
      <c r="C55" s="12">
        <v>0</v>
      </c>
      <c r="D55" s="13">
        <v>0</v>
      </c>
      <c r="E55" s="14">
        <v>0</v>
      </c>
      <c r="F55" s="14">
        <v>0</v>
      </c>
      <c r="G55" s="12">
        <v>0</v>
      </c>
    </row>
    <row r="56" spans="1:7" ht="15">
      <c r="A56" s="19" t="s">
        <v>56</v>
      </c>
      <c r="B56" s="44">
        <v>10262032</v>
      </c>
      <c r="C56" s="45">
        <v>16128134</v>
      </c>
      <c r="D56" s="46">
        <v>15303022</v>
      </c>
      <c r="E56" s="38">
        <v>0</v>
      </c>
      <c r="F56" s="38">
        <v>-1838309</v>
      </c>
      <c r="G56" s="45">
        <v>13464713</v>
      </c>
    </row>
    <row r="57" spans="1:7" ht="15.75" thickBot="1">
      <c r="A57" s="47" t="s">
        <v>57</v>
      </c>
      <c r="B57" s="48">
        <v>10262032</v>
      </c>
      <c r="C57" s="49">
        <v>16128134</v>
      </c>
      <c r="D57" s="50">
        <v>15303022</v>
      </c>
      <c r="E57" s="28">
        <v>0</v>
      </c>
      <c r="F57" s="28">
        <v>-1838309</v>
      </c>
      <c r="G57" s="51">
        <v>13464713</v>
      </c>
    </row>
    <row r="58" spans="1:7" s="25" customFormat="1" ht="16.5" thickTop="1">
      <c r="A58" s="52" t="s">
        <v>58</v>
      </c>
      <c r="B58" s="53">
        <v>262331378</v>
      </c>
      <c r="C58" s="54">
        <v>263869134</v>
      </c>
      <c r="D58" s="55">
        <v>193327445</v>
      </c>
      <c r="E58" s="34">
        <v>37030101</v>
      </c>
      <c r="F58" s="34">
        <v>46415155</v>
      </c>
      <c r="G58" s="54">
        <v>276772701</v>
      </c>
    </row>
    <row r="59" spans="1:7" ht="6.75" customHeight="1">
      <c r="A59" s="16"/>
      <c r="B59" s="17"/>
      <c r="C59" s="12"/>
      <c r="D59" s="13"/>
      <c r="E59" s="14"/>
      <c r="F59" s="14"/>
      <c r="G59" s="12"/>
    </row>
    <row r="60" spans="1:7" ht="18" customHeight="1" thickBot="1">
      <c r="A60" s="56" t="s">
        <v>59</v>
      </c>
      <c r="B60" s="57">
        <v>0</v>
      </c>
      <c r="C60" s="58">
        <v>0</v>
      </c>
      <c r="D60" s="59">
        <v>0</v>
      </c>
      <c r="E60" s="60">
        <v>0</v>
      </c>
      <c r="F60" s="60">
        <v>0</v>
      </c>
      <c r="G60" s="58">
        <v>0</v>
      </c>
    </row>
    <row r="62" spans="1:3" ht="15">
      <c r="A62" s="61"/>
      <c r="B62" s="62"/>
      <c r="C62" s="63"/>
    </row>
    <row r="63" spans="1:3" ht="15">
      <c r="A63" s="65"/>
      <c r="B63" s="66"/>
      <c r="C63" s="65"/>
    </row>
    <row r="64" spans="1:3" ht="15">
      <c r="A64" s="67"/>
      <c r="B64" s="68"/>
      <c r="C64" s="67"/>
    </row>
    <row r="65" spans="1:7" ht="15">
      <c r="A65" s="67"/>
      <c r="B65" s="68"/>
      <c r="C65" s="67"/>
      <c r="D65" s="2"/>
      <c r="E65" s="36"/>
      <c r="F65" s="36"/>
      <c r="G65" s="2"/>
    </row>
    <row r="66" spans="1:7" ht="15">
      <c r="A66" s="67"/>
      <c r="B66" s="68"/>
      <c r="C66" s="67"/>
      <c r="D66" s="2"/>
      <c r="E66" s="2"/>
      <c r="F66" s="2"/>
      <c r="G66" s="2"/>
    </row>
    <row r="67" spans="1:7" ht="15">
      <c r="A67" s="67"/>
      <c r="B67" s="68"/>
      <c r="C67" s="67"/>
      <c r="D67" s="2"/>
      <c r="E67" s="2"/>
      <c r="F67" s="2"/>
      <c r="G67" s="2"/>
    </row>
    <row r="68" spans="1:7" ht="15">
      <c r="A68" s="67"/>
      <c r="B68" s="68"/>
      <c r="C68" s="67"/>
      <c r="D68" s="2"/>
      <c r="E68" s="2"/>
      <c r="F68" s="2"/>
      <c r="G68" s="2"/>
    </row>
  </sheetData>
  <sheetProtection/>
  <mergeCells count="3">
    <mergeCell ref="A5:A6"/>
    <mergeCell ref="B5:C5"/>
    <mergeCell ref="D5:G5"/>
  </mergeCells>
  <printOptions/>
  <pageMargins left="0.75" right="0.75" top="0.75" bottom="0.75" header="0.3" footer="0.3"/>
  <pageSetup fitToHeight="1" fitToWidth="1" horizontalDpi="600" verticalDpi="600" orientation="portrait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51.7109375" style="2" customWidth="1"/>
    <col min="2" max="2" width="17.7109375" style="89" customWidth="1"/>
    <col min="3" max="3" width="17.7109375" style="2" customWidth="1"/>
    <col min="4" max="7" width="17.7109375" style="64" customWidth="1"/>
    <col min="8" max="11" width="9.140625" style="2" customWidth="1"/>
    <col min="12" max="12" width="14.57421875" style="2" customWidth="1"/>
    <col min="13" max="16384" width="9.140625" style="2" customWidth="1"/>
  </cols>
  <sheetData>
    <row r="1" spans="1:7" ht="15.75">
      <c r="A1" s="1" t="s">
        <v>74</v>
      </c>
      <c r="B1" s="1"/>
      <c r="C1" s="1"/>
      <c r="D1" s="1"/>
      <c r="E1" s="1"/>
      <c r="F1" s="1"/>
      <c r="G1" s="1"/>
    </row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5">
      <c r="A3" s="3" t="s">
        <v>60</v>
      </c>
      <c r="B3" s="3"/>
      <c r="C3" s="3"/>
      <c r="D3" s="3"/>
      <c r="E3" s="3"/>
      <c r="F3" s="3"/>
      <c r="G3" s="3"/>
    </row>
    <row r="4" spans="1:7" ht="15.75" thickBot="1">
      <c r="A4" s="4"/>
      <c r="B4" s="70"/>
      <c r="C4" s="4"/>
      <c r="D4" s="4"/>
      <c r="E4" s="4"/>
      <c r="F4" s="4"/>
      <c r="G4" s="4"/>
    </row>
    <row r="5" spans="1:7" ht="15.75" customHeight="1" thickBot="1">
      <c r="A5" s="203" t="s">
        <v>2</v>
      </c>
      <c r="B5" s="205" t="s">
        <v>3</v>
      </c>
      <c r="C5" s="206"/>
      <c r="D5" s="207" t="s">
        <v>4</v>
      </c>
      <c r="E5" s="208"/>
      <c r="F5" s="208"/>
      <c r="G5" s="209"/>
    </row>
    <row r="6" spans="1:7" s="9" customFormat="1" ht="48" thickBot="1">
      <c r="A6" s="204"/>
      <c r="B6" s="71" t="s">
        <v>5</v>
      </c>
      <c r="C6" s="6" t="s">
        <v>6</v>
      </c>
      <c r="D6" s="7" t="s">
        <v>7</v>
      </c>
      <c r="E6" s="8" t="s">
        <v>8</v>
      </c>
      <c r="F6" s="8" t="s">
        <v>9</v>
      </c>
      <c r="G6" s="6" t="s">
        <v>10</v>
      </c>
    </row>
    <row r="7" spans="1:7" ht="15.75">
      <c r="A7" s="10" t="s">
        <v>11</v>
      </c>
      <c r="B7" s="72"/>
      <c r="C7" s="12"/>
      <c r="D7" s="13"/>
      <c r="E7" s="14"/>
      <c r="F7" s="14"/>
      <c r="G7" s="15"/>
    </row>
    <row r="8" spans="1:7" ht="15" customHeight="1">
      <c r="A8" s="16" t="s">
        <v>12</v>
      </c>
      <c r="B8" s="73"/>
      <c r="C8" s="12"/>
      <c r="D8" s="13"/>
      <c r="E8" s="14"/>
      <c r="F8" s="14"/>
      <c r="G8" s="12"/>
    </row>
    <row r="9" spans="1:7" ht="15">
      <c r="A9" s="18" t="s">
        <v>13</v>
      </c>
      <c r="B9" s="74">
        <v>1143054</v>
      </c>
      <c r="C9" s="12">
        <v>1145913</v>
      </c>
      <c r="D9" s="13">
        <v>1254864</v>
      </c>
      <c r="E9" s="14">
        <v>0</v>
      </c>
      <c r="F9" s="14">
        <v>0</v>
      </c>
      <c r="G9" s="12">
        <v>1254864</v>
      </c>
    </row>
    <row r="10" spans="1:7" ht="15">
      <c r="A10" s="18" t="s">
        <v>14</v>
      </c>
      <c r="B10" s="74">
        <v>56129201</v>
      </c>
      <c r="C10" s="12">
        <v>57264788</v>
      </c>
      <c r="D10" s="13">
        <v>60216069</v>
      </c>
      <c r="E10" s="14">
        <v>0</v>
      </c>
      <c r="F10" s="14">
        <v>0</v>
      </c>
      <c r="G10" s="12">
        <v>60216069</v>
      </c>
    </row>
    <row r="11" spans="1:7" ht="15">
      <c r="A11" s="18" t="s">
        <v>15</v>
      </c>
      <c r="B11" s="74">
        <v>19712148</v>
      </c>
      <c r="C11" s="12">
        <v>19697479</v>
      </c>
      <c r="D11" s="13">
        <v>22263381</v>
      </c>
      <c r="E11" s="14">
        <v>0</v>
      </c>
      <c r="F11" s="14">
        <v>0</v>
      </c>
      <c r="G11" s="12">
        <v>22263381</v>
      </c>
    </row>
    <row r="12" spans="1:7" ht="15">
      <c r="A12" s="18" t="s">
        <v>16</v>
      </c>
      <c r="B12" s="74">
        <v>10565836</v>
      </c>
      <c r="C12" s="12">
        <v>11029222</v>
      </c>
      <c r="D12" s="13">
        <v>0</v>
      </c>
      <c r="E12" s="14">
        <v>11933030</v>
      </c>
      <c r="F12" s="14">
        <v>0</v>
      </c>
      <c r="G12" s="12">
        <v>11933030</v>
      </c>
    </row>
    <row r="13" spans="1:7" ht="15">
      <c r="A13" s="19" t="s">
        <v>17</v>
      </c>
      <c r="B13" s="74">
        <v>11783860</v>
      </c>
      <c r="C13" s="12">
        <v>12639886</v>
      </c>
      <c r="D13" s="13">
        <v>9978132</v>
      </c>
      <c r="E13" s="14">
        <v>2079092</v>
      </c>
      <c r="F13" s="14">
        <v>0</v>
      </c>
      <c r="G13" s="12">
        <v>12057224</v>
      </c>
    </row>
    <row r="14" spans="1:7" s="25" customFormat="1" ht="15.75">
      <c r="A14" s="20" t="s">
        <v>18</v>
      </c>
      <c r="B14" s="75">
        <v>99334099</v>
      </c>
      <c r="C14" s="22">
        <v>101777288</v>
      </c>
      <c r="D14" s="23">
        <v>93712446</v>
      </c>
      <c r="E14" s="24">
        <v>14012122</v>
      </c>
      <c r="F14" s="24">
        <v>0</v>
      </c>
      <c r="G14" s="22">
        <v>107724568</v>
      </c>
    </row>
    <row r="15" spans="1:7" ht="15">
      <c r="A15" s="16" t="s">
        <v>19</v>
      </c>
      <c r="B15" s="73">
        <v>8953086</v>
      </c>
      <c r="C15" s="12">
        <v>8953086</v>
      </c>
      <c r="D15" s="13">
        <v>0</v>
      </c>
      <c r="E15" s="14">
        <v>9015361</v>
      </c>
      <c r="F15" s="14">
        <v>0</v>
      </c>
      <c r="G15" s="12">
        <v>9015361</v>
      </c>
    </row>
    <row r="16" spans="1:7" ht="15">
      <c r="A16" s="16" t="s">
        <v>20</v>
      </c>
      <c r="B16" s="73"/>
      <c r="C16" s="12"/>
      <c r="D16" s="13"/>
      <c r="E16" s="14"/>
      <c r="F16" s="14"/>
      <c r="G16" s="12"/>
    </row>
    <row r="17" spans="1:7" ht="15">
      <c r="A17" s="18" t="s">
        <v>21</v>
      </c>
      <c r="B17" s="74">
        <v>218726021</v>
      </c>
      <c r="C17" s="12">
        <v>202619706</v>
      </c>
      <c r="D17" s="76">
        <v>0</v>
      </c>
      <c r="E17" s="14">
        <v>0</v>
      </c>
      <c r="F17" s="14">
        <v>202573742</v>
      </c>
      <c r="G17" s="12">
        <v>202573742</v>
      </c>
    </row>
    <row r="18" spans="1:7" ht="15">
      <c r="A18" s="18" t="s">
        <v>22</v>
      </c>
      <c r="B18" s="74">
        <v>18095208</v>
      </c>
      <c r="C18" s="12">
        <v>21456050</v>
      </c>
      <c r="D18" s="76">
        <v>0</v>
      </c>
      <c r="E18" s="14">
        <v>0</v>
      </c>
      <c r="F18" s="14">
        <v>24257871</v>
      </c>
      <c r="G18" s="12">
        <v>24257871</v>
      </c>
    </row>
    <row r="19" spans="1:7" ht="15">
      <c r="A19" s="18" t="s">
        <v>23</v>
      </c>
      <c r="B19" s="74">
        <v>13251670</v>
      </c>
      <c r="C19" s="12">
        <v>13007869</v>
      </c>
      <c r="D19" s="13">
        <v>12500677</v>
      </c>
      <c r="E19" s="14">
        <v>0</v>
      </c>
      <c r="F19" s="14">
        <v>0</v>
      </c>
      <c r="G19" s="12">
        <v>12500677</v>
      </c>
    </row>
    <row r="20" spans="1:7" ht="15">
      <c r="A20" s="19" t="s">
        <v>24</v>
      </c>
      <c r="B20" s="74">
        <v>55919409</v>
      </c>
      <c r="C20" s="12">
        <v>56166550</v>
      </c>
      <c r="D20" s="13">
        <v>62596921</v>
      </c>
      <c r="E20" s="14">
        <v>0</v>
      </c>
      <c r="F20" s="14">
        <v>0</v>
      </c>
      <c r="G20" s="12">
        <v>62596921</v>
      </c>
    </row>
    <row r="21" spans="1:7" s="25" customFormat="1" ht="15.75">
      <c r="A21" s="20" t="s">
        <v>25</v>
      </c>
      <c r="B21" s="75">
        <v>314945394</v>
      </c>
      <c r="C21" s="22">
        <v>302203261</v>
      </c>
      <c r="D21" s="23">
        <v>75097598</v>
      </c>
      <c r="E21" s="24">
        <v>9015361</v>
      </c>
      <c r="F21" s="24">
        <v>226831613</v>
      </c>
      <c r="G21" s="22">
        <v>310944572</v>
      </c>
    </row>
    <row r="22" spans="1:7" ht="15">
      <c r="A22" s="16" t="s">
        <v>26</v>
      </c>
      <c r="B22" s="73">
        <v>111405801</v>
      </c>
      <c r="C22" s="12">
        <v>135621883</v>
      </c>
      <c r="D22" s="76">
        <v>0</v>
      </c>
      <c r="E22" s="14">
        <v>0</v>
      </c>
      <c r="F22" s="14">
        <v>137194561</v>
      </c>
      <c r="G22" s="12">
        <v>137194561</v>
      </c>
    </row>
    <row r="23" spans="1:7" ht="15">
      <c r="A23" s="16" t="s">
        <v>27</v>
      </c>
      <c r="B23" s="73">
        <v>143650142</v>
      </c>
      <c r="C23" s="12">
        <v>149199829</v>
      </c>
      <c r="D23" s="76">
        <v>0</v>
      </c>
      <c r="E23" s="14">
        <v>153414249</v>
      </c>
      <c r="F23" s="14">
        <v>0</v>
      </c>
      <c r="G23" s="26">
        <v>153414249</v>
      </c>
    </row>
    <row r="24" spans="1:7" ht="15">
      <c r="A24" s="16" t="s">
        <v>28</v>
      </c>
      <c r="B24" s="73">
        <v>16923711</v>
      </c>
      <c r="C24" s="12">
        <v>17037943</v>
      </c>
      <c r="D24" s="76">
        <v>0</v>
      </c>
      <c r="E24" s="14">
        <v>17233259</v>
      </c>
      <c r="F24" s="14">
        <v>0</v>
      </c>
      <c r="G24" s="12">
        <v>17233259</v>
      </c>
    </row>
    <row r="25" spans="1:7" ht="15">
      <c r="A25" s="16" t="s">
        <v>29</v>
      </c>
      <c r="B25" s="73">
        <v>673019221</v>
      </c>
      <c r="C25" s="12">
        <v>691036187</v>
      </c>
      <c r="D25" s="13">
        <v>1950000</v>
      </c>
      <c r="E25" s="14">
        <v>736430984</v>
      </c>
      <c r="F25" s="14">
        <v>0</v>
      </c>
      <c r="G25" s="12">
        <v>738380984</v>
      </c>
    </row>
    <row r="26" spans="1:7" ht="15">
      <c r="A26" s="16" t="s">
        <v>30</v>
      </c>
      <c r="B26" s="73"/>
      <c r="C26" s="12"/>
      <c r="D26" s="13"/>
      <c r="E26" s="14"/>
      <c r="F26" s="14"/>
      <c r="G26" s="12"/>
    </row>
    <row r="27" spans="1:7" ht="15">
      <c r="A27" s="18" t="s">
        <v>31</v>
      </c>
      <c r="B27" s="74">
        <v>76755790</v>
      </c>
      <c r="C27" s="12">
        <v>74144244</v>
      </c>
      <c r="D27" s="13">
        <v>61272430</v>
      </c>
      <c r="E27" s="14">
        <v>15658770</v>
      </c>
      <c r="F27" s="14">
        <v>0</v>
      </c>
      <c r="G27" s="12">
        <v>76931200</v>
      </c>
    </row>
    <row r="28" spans="1:7" ht="15">
      <c r="A28" s="18" t="s">
        <v>32</v>
      </c>
      <c r="B28" s="74">
        <v>0</v>
      </c>
      <c r="C28" s="12">
        <v>0</v>
      </c>
      <c r="D28" s="76">
        <v>0</v>
      </c>
      <c r="E28" s="14">
        <v>0</v>
      </c>
      <c r="F28" s="14">
        <v>0</v>
      </c>
      <c r="G28" s="12">
        <v>0</v>
      </c>
    </row>
    <row r="29" spans="1:7" ht="15.75" thickBot="1">
      <c r="A29" s="27" t="s">
        <v>33</v>
      </c>
      <c r="B29" s="74">
        <v>24514271</v>
      </c>
      <c r="C29" s="12">
        <v>26421000</v>
      </c>
      <c r="D29" s="13">
        <v>19944931</v>
      </c>
      <c r="E29" s="28">
        <v>19271966</v>
      </c>
      <c r="F29" s="14">
        <v>0</v>
      </c>
      <c r="G29" s="29">
        <v>39216897</v>
      </c>
    </row>
    <row r="30" spans="1:7" s="25" customFormat="1" ht="16.5" thickTop="1">
      <c r="A30" s="30" t="s">
        <v>34</v>
      </c>
      <c r="B30" s="77">
        <v>1460548429</v>
      </c>
      <c r="C30" s="32">
        <v>1497441635</v>
      </c>
      <c r="D30" s="33">
        <v>251977405</v>
      </c>
      <c r="E30" s="34">
        <v>965036711</v>
      </c>
      <c r="F30" s="35">
        <v>364026174</v>
      </c>
      <c r="G30" s="32">
        <v>1581040290</v>
      </c>
    </row>
    <row r="31" spans="1:7" ht="8.25" customHeight="1">
      <c r="A31" s="16"/>
      <c r="B31" s="73"/>
      <c r="C31" s="12"/>
      <c r="D31" s="13"/>
      <c r="E31" s="14"/>
      <c r="F31" s="14"/>
      <c r="G31" s="12"/>
    </row>
    <row r="32" spans="1:7" ht="15.75">
      <c r="A32" s="10" t="s">
        <v>35</v>
      </c>
      <c r="B32" s="72"/>
      <c r="C32" s="12"/>
      <c r="D32" s="13"/>
      <c r="E32" s="14"/>
      <c r="F32" s="14"/>
      <c r="G32" s="12"/>
    </row>
    <row r="33" spans="1:7" ht="15">
      <c r="A33" s="16" t="s">
        <v>36</v>
      </c>
      <c r="B33" s="73"/>
      <c r="C33" s="12"/>
      <c r="D33" s="13"/>
      <c r="E33" s="14"/>
      <c r="F33" s="14"/>
      <c r="G33" s="12"/>
    </row>
    <row r="34" spans="1:7" ht="15">
      <c r="A34" s="18" t="s">
        <v>37</v>
      </c>
      <c r="B34" s="74">
        <v>307528491</v>
      </c>
      <c r="C34" s="12">
        <v>345289359</v>
      </c>
      <c r="D34" s="13">
        <v>102950932</v>
      </c>
      <c r="E34" s="14">
        <v>139855679</v>
      </c>
      <c r="F34" s="14">
        <v>101893228</v>
      </c>
      <c r="G34" s="12">
        <v>344699839</v>
      </c>
    </row>
    <row r="35" spans="1:7" ht="15">
      <c r="A35" s="18" t="s">
        <v>38</v>
      </c>
      <c r="B35" s="74">
        <v>237314380</v>
      </c>
      <c r="C35" s="12">
        <v>232808481</v>
      </c>
      <c r="D35" s="13">
        <v>98945</v>
      </c>
      <c r="E35" s="14">
        <v>219347</v>
      </c>
      <c r="F35" s="14">
        <v>225750754</v>
      </c>
      <c r="G35" s="12">
        <v>226069046</v>
      </c>
    </row>
    <row r="36" spans="1:7" ht="15">
      <c r="A36" s="18" t="s">
        <v>39</v>
      </c>
      <c r="B36" s="74">
        <v>97407125</v>
      </c>
      <c r="C36" s="12">
        <v>85729958</v>
      </c>
      <c r="D36" s="13">
        <v>0</v>
      </c>
      <c r="E36" s="14">
        <v>63263089</v>
      </c>
      <c r="F36" s="14">
        <v>22800178</v>
      </c>
      <c r="G36" s="12">
        <v>86063267</v>
      </c>
    </row>
    <row r="37" spans="1:7" ht="15">
      <c r="A37" s="18" t="s">
        <v>40</v>
      </c>
      <c r="B37" s="74">
        <v>38037719</v>
      </c>
      <c r="C37" s="12">
        <v>37772354</v>
      </c>
      <c r="D37" s="13">
        <v>29682037</v>
      </c>
      <c r="E37" s="14">
        <v>56785</v>
      </c>
      <c r="F37" s="14">
        <v>36096</v>
      </c>
      <c r="G37" s="12">
        <v>29774918</v>
      </c>
    </row>
    <row r="38" spans="1:7" ht="15">
      <c r="A38" s="18" t="s">
        <v>41</v>
      </c>
      <c r="B38" s="74">
        <v>2990856</v>
      </c>
      <c r="C38" s="12">
        <v>4287559</v>
      </c>
      <c r="D38" s="13">
        <v>2618772</v>
      </c>
      <c r="E38" s="14">
        <v>1132825</v>
      </c>
      <c r="F38" s="14">
        <v>205</v>
      </c>
      <c r="G38" s="12">
        <v>3751802</v>
      </c>
    </row>
    <row r="39" spans="1:7" ht="15">
      <c r="A39" s="18" t="s">
        <v>42</v>
      </c>
      <c r="B39" s="74">
        <v>28321615</v>
      </c>
      <c r="C39" s="12">
        <v>40851468</v>
      </c>
      <c r="D39" s="13">
        <v>27261647</v>
      </c>
      <c r="E39" s="14">
        <v>1382886</v>
      </c>
      <c r="F39" s="14">
        <v>4913490</v>
      </c>
      <c r="G39" s="12">
        <v>33558023</v>
      </c>
    </row>
    <row r="40" spans="1:7" ht="15">
      <c r="A40" s="18" t="s">
        <v>43</v>
      </c>
      <c r="B40" s="74">
        <v>37134100</v>
      </c>
      <c r="C40" s="12">
        <v>49341966</v>
      </c>
      <c r="D40" s="13">
        <v>21073122</v>
      </c>
      <c r="E40" s="14">
        <v>19306244</v>
      </c>
      <c r="F40" s="14">
        <v>6002635</v>
      </c>
      <c r="G40" s="12">
        <v>46382001</v>
      </c>
    </row>
    <row r="41" spans="1:7" ht="15">
      <c r="A41" s="18" t="s">
        <v>44</v>
      </c>
      <c r="B41" s="74">
        <v>10425519</v>
      </c>
      <c r="C41" s="12">
        <v>10157728</v>
      </c>
      <c r="D41" s="13">
        <v>1170388</v>
      </c>
      <c r="E41" s="14">
        <v>159165</v>
      </c>
      <c r="F41" s="14">
        <v>8284512</v>
      </c>
      <c r="G41" s="12">
        <v>9614065</v>
      </c>
    </row>
    <row r="42" spans="1:7" ht="15">
      <c r="A42" s="16" t="s">
        <v>45</v>
      </c>
      <c r="B42" s="73">
        <v>18288525</v>
      </c>
      <c r="C42" s="12">
        <v>15833518</v>
      </c>
      <c r="D42" s="13">
        <v>0</v>
      </c>
      <c r="E42" s="14">
        <v>17554809</v>
      </c>
      <c r="F42" s="14">
        <v>0</v>
      </c>
      <c r="G42" s="12">
        <v>17554809</v>
      </c>
    </row>
    <row r="43" spans="1:7" ht="15">
      <c r="A43" s="16" t="s">
        <v>29</v>
      </c>
      <c r="B43" s="73">
        <v>595664340</v>
      </c>
      <c r="C43" s="12">
        <v>587933485</v>
      </c>
      <c r="D43" s="13">
        <v>0</v>
      </c>
      <c r="E43" s="14">
        <v>692101348</v>
      </c>
      <c r="F43" s="14">
        <v>69278</v>
      </c>
      <c r="G43" s="12">
        <v>692170626</v>
      </c>
    </row>
    <row r="44" spans="1:7" ht="15.75" thickBot="1">
      <c r="A44" s="37" t="s">
        <v>46</v>
      </c>
      <c r="B44" s="73">
        <v>0</v>
      </c>
      <c r="C44" s="12">
        <v>0</v>
      </c>
      <c r="D44" s="76">
        <v>0</v>
      </c>
      <c r="E44" s="28">
        <v>0</v>
      </c>
      <c r="F44" s="14">
        <v>0</v>
      </c>
      <c r="G44" s="12">
        <v>0</v>
      </c>
    </row>
    <row r="45" spans="1:7" s="25" customFormat="1" ht="16.5" thickTop="1">
      <c r="A45" s="30" t="s">
        <v>47</v>
      </c>
      <c r="B45" s="77">
        <v>1373112670</v>
      </c>
      <c r="C45" s="32">
        <v>1410005876</v>
      </c>
      <c r="D45" s="33">
        <v>184855843</v>
      </c>
      <c r="E45" s="34">
        <v>935032177</v>
      </c>
      <c r="F45" s="35">
        <v>369750376</v>
      </c>
      <c r="G45" s="32">
        <v>1489638396</v>
      </c>
    </row>
    <row r="46" spans="1:7" ht="6.75" customHeight="1">
      <c r="A46" s="16"/>
      <c r="B46" s="73"/>
      <c r="C46" s="12"/>
      <c r="D46" s="13"/>
      <c r="E46" s="14"/>
      <c r="F46" s="14"/>
      <c r="G46" s="12"/>
    </row>
    <row r="47" spans="1:7" ht="15.75">
      <c r="A47" s="10" t="s">
        <v>48</v>
      </c>
      <c r="B47" s="72"/>
      <c r="C47" s="12"/>
      <c r="D47" s="13"/>
      <c r="E47" s="14"/>
      <c r="F47" s="14"/>
      <c r="G47" s="12"/>
    </row>
    <row r="48" spans="1:7" ht="15">
      <c r="A48" s="16" t="s">
        <v>49</v>
      </c>
      <c r="B48" s="73"/>
      <c r="C48" s="12"/>
      <c r="D48" s="13"/>
      <c r="E48" s="14"/>
      <c r="F48" s="14"/>
      <c r="G48" s="12"/>
    </row>
    <row r="49" spans="1:7" ht="15">
      <c r="A49" s="18" t="s">
        <v>50</v>
      </c>
      <c r="B49" s="74">
        <v>36791387</v>
      </c>
      <c r="C49" s="17">
        <v>36791387</v>
      </c>
      <c r="D49" s="13">
        <v>2352928</v>
      </c>
      <c r="E49" s="14">
        <v>30004534</v>
      </c>
      <c r="F49" s="14">
        <v>0</v>
      </c>
      <c r="G49" s="12">
        <v>32357462</v>
      </c>
    </row>
    <row r="50" spans="1:7" ht="15">
      <c r="A50" s="18" t="s">
        <v>51</v>
      </c>
      <c r="B50" s="74">
        <v>0</v>
      </c>
      <c r="C50" s="12">
        <v>0</v>
      </c>
      <c r="D50" s="76">
        <v>0</v>
      </c>
      <c r="E50" s="14">
        <v>0</v>
      </c>
      <c r="F50" s="14">
        <v>0</v>
      </c>
      <c r="G50" s="12">
        <v>0</v>
      </c>
    </row>
    <row r="51" spans="1:7" ht="15">
      <c r="A51" s="19" t="s">
        <v>52</v>
      </c>
      <c r="B51" s="74">
        <v>0</v>
      </c>
      <c r="C51" s="12">
        <v>0</v>
      </c>
      <c r="D51" s="76">
        <v>0</v>
      </c>
      <c r="E51" s="38">
        <v>0</v>
      </c>
      <c r="F51" s="14">
        <v>0</v>
      </c>
      <c r="G51" s="12">
        <v>0</v>
      </c>
    </row>
    <row r="52" spans="1:7" ht="15">
      <c r="A52" s="39" t="s">
        <v>53</v>
      </c>
      <c r="B52" s="78">
        <v>36791387</v>
      </c>
      <c r="C52" s="41">
        <v>36791387</v>
      </c>
      <c r="D52" s="42">
        <v>2352928</v>
      </c>
      <c r="E52" s="38">
        <v>30004534</v>
      </c>
      <c r="F52" s="43">
        <v>0</v>
      </c>
      <c r="G52" s="41">
        <v>32357462</v>
      </c>
    </row>
    <row r="53" spans="1:7" ht="15">
      <c r="A53" s="16"/>
      <c r="B53" s="73"/>
      <c r="C53" s="12"/>
      <c r="D53" s="13"/>
      <c r="E53" s="14"/>
      <c r="F53" s="14"/>
      <c r="G53" s="12"/>
    </row>
    <row r="54" spans="1:7" ht="15">
      <c r="A54" s="16" t="s">
        <v>54</v>
      </c>
      <c r="B54" s="73"/>
      <c r="C54" s="12"/>
      <c r="D54" s="13"/>
      <c r="E54" s="14"/>
      <c r="F54" s="14"/>
      <c r="G54" s="12"/>
    </row>
    <row r="55" spans="1:7" ht="15">
      <c r="A55" s="18" t="s">
        <v>55</v>
      </c>
      <c r="B55" s="74">
        <v>0</v>
      </c>
      <c r="C55" s="12">
        <v>0</v>
      </c>
      <c r="D55" s="76">
        <v>0</v>
      </c>
      <c r="E55" s="14">
        <v>0</v>
      </c>
      <c r="F55" s="14">
        <v>0</v>
      </c>
      <c r="G55" s="12">
        <v>0</v>
      </c>
    </row>
    <row r="56" spans="1:7" ht="15">
      <c r="A56" s="19" t="s">
        <v>56</v>
      </c>
      <c r="B56" s="79">
        <v>50644372</v>
      </c>
      <c r="C56" s="44">
        <v>50644372</v>
      </c>
      <c r="D56" s="46">
        <v>64768634</v>
      </c>
      <c r="E56" s="38">
        <v>0</v>
      </c>
      <c r="F56" s="38">
        <v>-5724202</v>
      </c>
      <c r="G56" s="45">
        <v>59044432</v>
      </c>
    </row>
    <row r="57" spans="1:7" ht="15.75" thickBot="1">
      <c r="A57" s="47" t="s">
        <v>57</v>
      </c>
      <c r="B57" s="80">
        <v>50644372</v>
      </c>
      <c r="C57" s="49">
        <v>50644372</v>
      </c>
      <c r="D57" s="50">
        <v>64768634</v>
      </c>
      <c r="E57" s="28">
        <v>0</v>
      </c>
      <c r="F57" s="28">
        <v>-5724202</v>
      </c>
      <c r="G57" s="51">
        <v>59044432</v>
      </c>
    </row>
    <row r="58" spans="1:7" s="25" customFormat="1" ht="16.5" thickTop="1">
      <c r="A58" s="52" t="s">
        <v>58</v>
      </c>
      <c r="B58" s="81">
        <v>1460548429</v>
      </c>
      <c r="C58" s="54">
        <v>1497441635</v>
      </c>
      <c r="D58" s="55">
        <v>251977405</v>
      </c>
      <c r="E58" s="34">
        <v>965036711</v>
      </c>
      <c r="F58" s="34">
        <v>364026174</v>
      </c>
      <c r="G58" s="54">
        <v>1581040290</v>
      </c>
    </row>
    <row r="59" spans="1:7" ht="6.75" customHeight="1">
      <c r="A59" s="16"/>
      <c r="B59" s="73"/>
      <c r="C59" s="12"/>
      <c r="D59" s="13"/>
      <c r="E59" s="14"/>
      <c r="F59" s="14"/>
      <c r="G59" s="12"/>
    </row>
    <row r="60" spans="1:7" ht="18" customHeight="1" thickBot="1">
      <c r="A60" s="56" t="s">
        <v>59</v>
      </c>
      <c r="B60" s="82">
        <v>0</v>
      </c>
      <c r="C60" s="83">
        <v>0</v>
      </c>
      <c r="D60" s="84">
        <v>0</v>
      </c>
      <c r="E60" s="85">
        <v>0</v>
      </c>
      <c r="F60" s="85">
        <v>0</v>
      </c>
      <c r="G60" s="83">
        <v>0</v>
      </c>
    </row>
    <row r="62" spans="1:3" ht="15">
      <c r="A62" s="63"/>
      <c r="B62" s="86"/>
      <c r="C62" s="63"/>
    </row>
    <row r="63" spans="1:3" ht="15">
      <c r="A63" s="65"/>
      <c r="B63" s="87"/>
      <c r="C63" s="65"/>
    </row>
    <row r="64" spans="1:3" ht="15">
      <c r="A64" s="67"/>
      <c r="B64" s="88"/>
      <c r="C64" s="67"/>
    </row>
    <row r="65" spans="1:7" ht="15">
      <c r="A65" s="67"/>
      <c r="B65" s="88"/>
      <c r="C65" s="67"/>
      <c r="D65" s="2"/>
      <c r="E65" s="2"/>
      <c r="F65" s="2"/>
      <c r="G65" s="2"/>
    </row>
    <row r="66" spans="1:7" ht="15">
      <c r="A66" s="67"/>
      <c r="B66" s="88"/>
      <c r="C66" s="67"/>
      <c r="D66" s="2"/>
      <c r="E66" s="2"/>
      <c r="F66" s="2"/>
      <c r="G66" s="2"/>
    </row>
    <row r="67" spans="1:7" ht="15">
      <c r="A67" s="67"/>
      <c r="B67" s="88"/>
      <c r="C67" s="67"/>
      <c r="D67" s="2"/>
      <c r="E67" s="2"/>
      <c r="F67" s="2"/>
      <c r="G67" s="2"/>
    </row>
    <row r="68" spans="1:7" ht="15">
      <c r="A68" s="67"/>
      <c r="B68" s="88"/>
      <c r="C68" s="67"/>
      <c r="D68" s="2"/>
      <c r="E68" s="2"/>
      <c r="F68" s="2"/>
      <c r="G68" s="2"/>
    </row>
  </sheetData>
  <sheetProtection/>
  <mergeCells count="3">
    <mergeCell ref="A5:A6"/>
    <mergeCell ref="B5:C5"/>
    <mergeCell ref="D5:G5"/>
  </mergeCells>
  <printOptions/>
  <pageMargins left="0.75" right="0.75" top="0.75" bottom="0.75" header="0.3" footer="0.3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2015-06-25T17:14:56Z</cp:lastPrinted>
  <dcterms:created xsi:type="dcterms:W3CDTF">2015-06-03T15:57:36Z</dcterms:created>
  <dcterms:modified xsi:type="dcterms:W3CDTF">2015-06-25T17:17:31Z</dcterms:modified>
  <cp:category/>
  <cp:version/>
  <cp:contentType/>
  <cp:contentStatus/>
</cp:coreProperties>
</file>